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a34e6331e24a5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asic Pokédex" sheetId="1" r:id="Rbdc0f9efe35d4076"/>
    <x:sheet xmlns:r="http://schemas.openxmlformats.org/officeDocument/2006/relationships" name="Expanded (Mega, Regional, Gmax)" sheetId="2" r:id="R8088101ca367468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000"/>
    <x:numFmt numFmtId="201" formatCode="0.00%"/>
  </x:numFmts>
  <x:fonts count="5">
    <x:font>
      <x:sz val="11"/>
      <x:name val="Carlito"/>
    </x:font>
    <x:font>
      <x:b/>
      <x:sz val="13"/>
      <x:color rgb="FFFFFFFF"/>
      <x:name val="Carlito"/>
    </x:font>
    <x:font>
      <x:sz val="12"/>
      <x:color rgb="FF1B2D24"/>
      <x:name val="Carlito"/>
    </x:font>
    <x:font>
      <x:b/>
      <x:sz val="14"/>
      <x:color rgb="FF173C2B"/>
      <x:name val="Carlito"/>
    </x:font>
    <x:font>
      <x:b/>
      <x:sz val="12"/>
      <x:color rgb="FF173C2B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173C2B"/>
      </x:patternFill>
    </x:fill>
    <x:fill>
      <x:patternFill patternType="solid">
        <x:fgColor rgb="FFF7F4EC"/>
      </x:patternFill>
    </x:fill>
    <x:fill>
      <x:patternFill patternType="solid">
        <x:fgColor rgb="FFEAF0E8"/>
      </x:patternFill>
    </x:fill>
  </x:fills>
  <x:borders count="2">
    <x:border/>
    <x:border>
      <x:bottom style="thin">
        <x:color rgb="FFD5DED7"/>
      </x:bottom>
    </x:border>
  </x:borders>
  <x:cellStyleXfs count="1">
    <x:xf numFmtId="0" fontId="0" fillId="0" borderId="0"/>
  </x:cellStyleXfs>
  <x:cellXfs count="26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1" fillId="2" borderId="0" xfId="0" applyNumberFormat="1" applyFont="1" applyFill="1" applyBorder="1" applyAlignment="1">
      <x:alignment horizontal="center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vertical="center"/>
    </x:xf>
    <x:xf numFmtId="0" fontId="2" fillId="4" borderId="0" xfId="0" applyNumberFormat="1" applyFont="1" applyFill="1" applyBorder="1" applyAlignment="1">
      <x:alignment vertical="center"/>
    </x:xf>
    <x:xf numFmtId="0" fontId="2" fillId="3" borderId="0" xfId="0" applyNumberFormat="1" applyFont="1" applyFill="1" applyBorder="1" applyAlignment="1">
      <x:alignment horizontal="center" vertical="center"/>
    </x:xf>
    <x:xf numFmtId="0" fontId="2" fillId="4" borderId="0" xfId="0" applyNumberFormat="1" applyFont="1" applyFill="1" applyBorder="1" applyAlignment="1">
      <x:alignment horizontal="center" vertical="center"/>
    </x:xf>
    <x:xf numFmtId="200" fontId="2" fillId="3" borderId="0" xfId="0" applyNumberFormat="1" applyFont="1" applyFill="1" applyBorder="1" applyAlignment="1">
      <x:alignment horizontal="center" vertical="center"/>
    </x:xf>
    <x:xf numFmtId="200" fontId="2" fillId="4" borderId="0" xfId="0" applyNumberFormat="1" applyFont="1" applyFill="1" applyBorder="1" applyAlignment="1">
      <x:alignment horizontal="center" vertical="center"/>
    </x:xf>
    <x:xf numFmtId="0" fontId="3" fillId="3" borderId="0" xfId="0" applyNumberFormat="1" applyFont="1" applyFill="1" applyBorder="1" applyAlignment="1">
      <x:alignment horizontal="center" vertical="center"/>
    </x:xf>
    <x:xf numFmtId="0" fontId="3" fillId="4" borderId="0" xfId="0" applyNumberFormat="1" applyFont="1" applyFill="1" applyBorder="1" applyAlignment="1">
      <x:alignment horizontal="center" vertical="center"/>
    </x:xf>
    <x:xf numFmtId="0" fontId="4" fillId="3" borderId="0" xfId="0" applyNumberFormat="1" applyFont="1" applyFill="1" applyBorder="1" applyAlignment="1">
      <x:alignment vertical="center"/>
    </x:xf>
    <x:xf numFmtId="0" fontId="4" fillId="4" borderId="0" xfId="0" applyNumberFormat="1" applyFont="1" applyFill="1" applyBorder="1" applyAlignment="1">
      <x:alignment vertical="center"/>
    </x:xf>
    <x:xf numFmtId="201" fontId="1" fillId="2" borderId="0" xfId="0" applyNumberFormat="1" applyFont="1" applyFill="1" applyBorder="1" applyAlignment="1">
      <x:alignment horizontal="center" vertical="center"/>
    </x:xf>
    <x:xf numFmtId="0" fontId="3" fillId="3" borderId="1" xfId="0" applyNumberFormat="1" applyFont="1" applyFill="1" applyBorder="1" applyAlignment="1">
      <x:alignment horizontal="center" vertical="center"/>
    </x:xf>
    <x:xf numFmtId="200" fontId="2" fillId="3" borderId="1" xfId="0" applyNumberFormat="1" applyFont="1" applyFill="1" applyBorder="1" applyAlignment="1">
      <x:alignment horizontal="center" vertical="center"/>
    </x:xf>
    <x:xf numFmtId="0" fontId="4" fillId="3" borderId="1" xfId="0" applyNumberFormat="1" applyFont="1" applyFill="1" applyBorder="1" applyAlignment="1">
      <x:alignment vertical="center"/>
    </x:xf>
    <x:xf numFmtId="0" fontId="2" fillId="3" borderId="1" xfId="0" applyNumberFormat="1" applyFont="1" applyFill="1" applyBorder="1" applyAlignment="1">
      <x:alignment vertical="center"/>
    </x:xf>
    <x:xf numFmtId="0" fontId="3" fillId="4" borderId="1" xfId="0" applyNumberFormat="1" applyFont="1" applyFill="1" applyBorder="1" applyAlignment="1">
      <x:alignment horizontal="center" vertical="center"/>
    </x:xf>
    <x:xf numFmtId="200" fontId="2" fillId="4" borderId="1" xfId="0" applyNumberFormat="1" applyFont="1" applyFill="1" applyBorder="1" applyAlignment="1">
      <x:alignment horizontal="center" vertical="center"/>
    </x:xf>
    <x:xf numFmtId="0" fontId="4" fillId="4" borderId="1" xfId="0" applyNumberFormat="1" applyFont="1" applyFill="1" applyBorder="1" applyAlignment="1">
      <x:alignment vertical="center"/>
    </x:xf>
    <x:xf numFmtId="0" fontId="2" fillId="4" borderId="1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e43cc571fd44fff" /><Relationship Type="http://schemas.openxmlformats.org/officeDocument/2006/relationships/theme" Target="/xl/theme/theme1.xml" Id="R4defd7270f4c4116" /><Relationship Type="http://schemas.openxmlformats.org/officeDocument/2006/relationships/sharedStrings" Target="/xl/sharedStrings.xml" Id="Rab54334cca844917" /><Relationship Type="http://schemas.openxmlformats.org/officeDocument/2006/relationships/worksheet" Target="/xl/worksheets/sheet1.xml" Id="Rbdc0f9efe35d4076" /><Relationship Type="http://schemas.openxmlformats.org/officeDocument/2006/relationships/worksheet" Target="/xl/worksheets/sheet2.xml" Id="R8088101ca367468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18" hidden="0" customWidth="1"/>
    <x:col min="3" max="3" width="34" hidden="0" customWidth="1"/>
    <x:col min="4" max="4" width="28" hidden="0" customWidth="1"/>
    <x:col min="5" max="5" width="19" hidden="0" customWidth="1"/>
    <x:col min="6" max="6" width="14" hidden="0" customWidth="1"/>
  </x:cols>
  <x:sheetData>
    <x:row r="1" ht="32" customHeight="1">
      <x:c r="A1" s="4" t="str">
        <x:v>Collected</x:v>
      </x:c>
      <x:c r="B1" s="4" t="str">
        <x:v>National Dex #</x:v>
      </x:c>
      <x:c r="C1" s="4" t="str">
        <x:v>Pokémon Name</x:v>
      </x:c>
      <x:c r="D1" s="4" t="str">
        <x:v>Form / Region</x:v>
      </x:c>
      <x:c r="E1" s="4" t="str">
        <x:v>Progress</x:v>
      </x:c>
      <x:c r="F1" s="17" t="n">
        <x:f>COUNTIF(A2:A1026,"☑")/COUNTA(B2:B1026)</x:f>
        <x:v>0</x:v>
      </x:c>
    </x:row>
    <x:row r="2" ht="25" customHeight="1">
      <x:c r="A2" s="13" t="str">
        <x:v>☐</x:v>
      </x:c>
      <x:c r="B2" s="11" t="n">
        <x:v>1</x:v>
      </x:c>
      <x:c r="C2" s="15" t="e">
        <x:f>HYPERLINK("https://pokecottage.com/pokemon-master-sets/bulbasaur","Bulbasaur")</x:f>
        <x:v>HYPERLINK is not implemented. linkLocation=https://pokecottage.com/pokemon-master-sets/bulbasaur, friendlyName=Bulbasaur</x:v>
      </x:c>
      <x:c r="D2" s="7" t="str">
        <x:v>Gen 1 • Kanto</x:v>
      </x:c>
      <x:c r="E2" s="7"/>
      <x:c r="F2" s="7"/>
    </x:row>
    <x:row r="3" ht="25" customHeight="1">
      <x:c r="A3" s="14" t="str">
        <x:v>☐</x:v>
      </x:c>
      <x:c r="B3" s="12" t="n">
        <x:v>2</x:v>
      </x:c>
      <x:c r="C3" s="16" t="e">
        <x:f>HYPERLINK("https://pokecottage.com/pokemon-master-sets/ivysaur","Ivysaur")</x:f>
        <x:v>HYPERLINK is not implemented. linkLocation=https://pokecottage.com/pokemon-master-sets/ivysaur, friendlyName=Ivysaur</x:v>
      </x:c>
      <x:c r="D3" s="8" t="str">
        <x:v>Gen 1 • Kanto</x:v>
      </x:c>
      <x:c r="E3" s="8"/>
      <x:c r="F3" s="8"/>
    </x:row>
    <x:row r="4" ht="25" customHeight="1">
      <x:c r="A4" s="13" t="str">
        <x:v>☐</x:v>
      </x:c>
      <x:c r="B4" s="11" t="n">
        <x:v>3</x:v>
      </x:c>
      <x:c r="C4" s="15" t="e">
        <x:f>HYPERLINK("https://pokecottage.com/pokemon-master-sets/venusaur","Venusaur")</x:f>
        <x:v>HYPERLINK is not implemented. linkLocation=https://pokecottage.com/pokemon-master-sets/venusaur, friendlyName=Venusaur</x:v>
      </x:c>
      <x:c r="D4" s="7" t="str">
        <x:v>Gen 1 • Kanto</x:v>
      </x:c>
      <x:c r="E4" s="7"/>
      <x:c r="F4" s="7"/>
    </x:row>
    <x:row r="5" ht="25" customHeight="1">
      <x:c r="A5" s="14" t="str">
        <x:v>☐</x:v>
      </x:c>
      <x:c r="B5" s="12" t="n">
        <x:v>4</x:v>
      </x:c>
      <x:c r="C5" s="16" t="e">
        <x:f>HYPERLINK("https://pokecottage.com/pokemon-master-sets/charmander","Charmander")</x:f>
        <x:v>HYPERLINK is not implemented. linkLocation=https://pokecottage.com/pokemon-master-sets/charmander, friendlyName=Charmander</x:v>
      </x:c>
      <x:c r="D5" s="8" t="str">
        <x:v>Gen 1 • Kanto</x:v>
      </x:c>
      <x:c r="E5" s="8"/>
      <x:c r="F5" s="8"/>
    </x:row>
    <x:row r="6" ht="25" customHeight="1">
      <x:c r="A6" s="13" t="str">
        <x:v>☐</x:v>
      </x:c>
      <x:c r="B6" s="11" t="n">
        <x:v>5</x:v>
      </x:c>
      <x:c r="C6" s="15" t="e">
        <x:f>HYPERLINK("https://pokecottage.com/pokemon-master-sets/charmeleon","Charmeleon")</x:f>
        <x:v>HYPERLINK is not implemented. linkLocation=https://pokecottage.com/pokemon-master-sets/charmeleon, friendlyName=Charmeleon</x:v>
      </x:c>
      <x:c r="D6" s="7" t="str">
        <x:v>Gen 1 • Kanto</x:v>
      </x:c>
      <x:c r="E6" s="7"/>
      <x:c r="F6" s="7"/>
    </x:row>
    <x:row r="7" ht="25" customHeight="1">
      <x:c r="A7" s="14" t="str">
        <x:v>☐</x:v>
      </x:c>
      <x:c r="B7" s="12" t="n">
        <x:v>6</x:v>
      </x:c>
      <x:c r="C7" s="16" t="e">
        <x:f>HYPERLINK("https://pokecottage.com/pokemon-master-sets/charizard","Charizard")</x:f>
        <x:v>HYPERLINK is not implemented. linkLocation=https://pokecottage.com/pokemon-master-sets/charizard, friendlyName=Charizard</x:v>
      </x:c>
      <x:c r="D7" s="8" t="str">
        <x:v>Gen 1 • Kanto</x:v>
      </x:c>
      <x:c r="E7" s="8"/>
      <x:c r="F7" s="8"/>
    </x:row>
    <x:row r="8" ht="25" customHeight="1">
      <x:c r="A8" s="13" t="str">
        <x:v>☐</x:v>
      </x:c>
      <x:c r="B8" s="11" t="n">
        <x:v>7</x:v>
      </x:c>
      <x:c r="C8" s="15" t="e">
        <x:f>HYPERLINK("https://pokecottage.com/pokemon-master-sets/squirtle","Squirtle")</x:f>
        <x:v>HYPERLINK is not implemented. linkLocation=https://pokecottage.com/pokemon-master-sets/squirtle, friendlyName=Squirtle</x:v>
      </x:c>
      <x:c r="D8" s="7" t="str">
        <x:v>Gen 1 • Kanto</x:v>
      </x:c>
      <x:c r="E8" s="7"/>
      <x:c r="F8" s="7"/>
    </x:row>
    <x:row r="9" ht="25" customHeight="1">
      <x:c r="A9" s="14" t="str">
        <x:v>☐</x:v>
      </x:c>
      <x:c r="B9" s="12" t="n">
        <x:v>8</x:v>
      </x:c>
      <x:c r="C9" s="16" t="e">
        <x:f>HYPERLINK("https://pokecottage.com/pokemon-master-sets/wartortle","Wartortle")</x:f>
        <x:v>HYPERLINK is not implemented. linkLocation=https://pokecottage.com/pokemon-master-sets/wartortle, friendlyName=Wartortle</x:v>
      </x:c>
      <x:c r="D9" s="8" t="str">
        <x:v>Gen 1 • Kanto</x:v>
      </x:c>
      <x:c r="E9" s="8"/>
      <x:c r="F9" s="8"/>
    </x:row>
    <x:row r="10" ht="25" customHeight="1">
      <x:c r="A10" s="13" t="str">
        <x:v>☐</x:v>
      </x:c>
      <x:c r="B10" s="11" t="n">
        <x:v>9</x:v>
      </x:c>
      <x:c r="C10" s="15" t="e">
        <x:f>HYPERLINK("https://pokecottage.com/pokemon-master-sets/blastoise","Blastoise")</x:f>
        <x:v>HYPERLINK is not implemented. linkLocation=https://pokecottage.com/pokemon-master-sets/blastoise, friendlyName=Blastoise</x:v>
      </x:c>
      <x:c r="D10" s="7" t="str">
        <x:v>Gen 1 • Kanto</x:v>
      </x:c>
      <x:c r="E10" s="7"/>
      <x:c r="F10" s="7"/>
    </x:row>
    <x:row r="11" ht="25" customHeight="1">
      <x:c r="A11" s="14" t="str">
        <x:v>☐</x:v>
      </x:c>
      <x:c r="B11" s="12" t="n">
        <x:v>10</x:v>
      </x:c>
      <x:c r="C11" s="16" t="e">
        <x:f>HYPERLINK("https://pokecottage.com/pokemon-master-sets/caterpie","Caterpie")</x:f>
        <x:v>HYPERLINK is not implemented. linkLocation=https://pokecottage.com/pokemon-master-sets/caterpie, friendlyName=Caterpie</x:v>
      </x:c>
      <x:c r="D11" s="8" t="str">
        <x:v>Gen 1 • Kanto</x:v>
      </x:c>
      <x:c r="E11" s="8"/>
      <x:c r="F11" s="8"/>
    </x:row>
    <x:row r="12" ht="25" customHeight="1">
      <x:c r="A12" s="13" t="str">
        <x:v>☐</x:v>
      </x:c>
      <x:c r="B12" s="11" t="n">
        <x:v>11</x:v>
      </x:c>
      <x:c r="C12" s="15" t="e">
        <x:f>HYPERLINK("https://pokecottage.com/pokemon-master-sets/metapod","Metapod")</x:f>
        <x:v>HYPERLINK is not implemented. linkLocation=https://pokecottage.com/pokemon-master-sets/metapod, friendlyName=Metapod</x:v>
      </x:c>
      <x:c r="D12" s="7" t="str">
        <x:v>Gen 1 • Kanto</x:v>
      </x:c>
      <x:c r="E12" s="7"/>
      <x:c r="F12" s="7"/>
    </x:row>
    <x:row r="13" ht="25" customHeight="1">
      <x:c r="A13" s="14" t="str">
        <x:v>☐</x:v>
      </x:c>
      <x:c r="B13" s="12" t="n">
        <x:v>12</x:v>
      </x:c>
      <x:c r="C13" s="16" t="e">
        <x:f>HYPERLINK("https://pokecottage.com/pokemon-master-sets/butterfree","Butterfree")</x:f>
        <x:v>HYPERLINK is not implemented. linkLocation=https://pokecottage.com/pokemon-master-sets/butterfree, friendlyName=Butterfree</x:v>
      </x:c>
      <x:c r="D13" s="8" t="str">
        <x:v>Gen 1 • Kanto</x:v>
      </x:c>
      <x:c r="E13" s="8"/>
      <x:c r="F13" s="8"/>
    </x:row>
    <x:row r="14" ht="25" customHeight="1">
      <x:c r="A14" s="13" t="str">
        <x:v>☐</x:v>
      </x:c>
      <x:c r="B14" s="11" t="n">
        <x:v>13</x:v>
      </x:c>
      <x:c r="C14" s="15" t="e">
        <x:f>HYPERLINK("https://pokecottage.com/pokemon-master-sets/weedle","Weedle")</x:f>
        <x:v>HYPERLINK is not implemented. linkLocation=https://pokecottage.com/pokemon-master-sets/weedle, friendlyName=Weedle</x:v>
      </x:c>
      <x:c r="D14" s="7" t="str">
        <x:v>Gen 1 • Kanto</x:v>
      </x:c>
      <x:c r="E14" s="7"/>
      <x:c r="F14" s="7"/>
    </x:row>
    <x:row r="15" ht="25" customHeight="1">
      <x:c r="A15" s="14" t="str">
        <x:v>☐</x:v>
      </x:c>
      <x:c r="B15" s="12" t="n">
        <x:v>14</x:v>
      </x:c>
      <x:c r="C15" s="16" t="e">
        <x:f>HYPERLINK("https://pokecottage.com/pokemon-master-sets/kakuna","Kakuna")</x:f>
        <x:v>HYPERLINK is not implemented. linkLocation=https://pokecottage.com/pokemon-master-sets/kakuna, friendlyName=Kakuna</x:v>
      </x:c>
      <x:c r="D15" s="8" t="str">
        <x:v>Gen 1 • Kanto</x:v>
      </x:c>
      <x:c r="E15" s="8"/>
      <x:c r="F15" s="8"/>
    </x:row>
    <x:row r="16" ht="25" customHeight="1">
      <x:c r="A16" s="13" t="str">
        <x:v>☐</x:v>
      </x:c>
      <x:c r="B16" s="11" t="n">
        <x:v>15</x:v>
      </x:c>
      <x:c r="C16" s="15" t="e">
        <x:f>HYPERLINK("https://pokecottage.com/pokemon-master-sets/beedrill","Beedrill")</x:f>
        <x:v>HYPERLINK is not implemented. linkLocation=https://pokecottage.com/pokemon-master-sets/beedrill, friendlyName=Beedrill</x:v>
      </x:c>
      <x:c r="D16" s="7" t="str">
        <x:v>Gen 1 • Kanto</x:v>
      </x:c>
      <x:c r="E16" s="7"/>
      <x:c r="F16" s="7"/>
    </x:row>
    <x:row r="17" ht="25" customHeight="1">
      <x:c r="A17" s="14" t="str">
        <x:v>☐</x:v>
      </x:c>
      <x:c r="B17" s="12" t="n">
        <x:v>16</x:v>
      </x:c>
      <x:c r="C17" s="16" t="e">
        <x:f>HYPERLINK("https://pokecottage.com/pokemon-master-sets/pidgey","Pidgey")</x:f>
        <x:v>HYPERLINK is not implemented. linkLocation=https://pokecottage.com/pokemon-master-sets/pidgey, friendlyName=Pidgey</x:v>
      </x:c>
      <x:c r="D17" s="8" t="str">
        <x:v>Gen 1 • Kanto</x:v>
      </x:c>
      <x:c r="E17" s="8"/>
      <x:c r="F17" s="8"/>
    </x:row>
    <x:row r="18" ht="25" customHeight="1">
      <x:c r="A18" s="13" t="str">
        <x:v>☐</x:v>
      </x:c>
      <x:c r="B18" s="11" t="n">
        <x:v>17</x:v>
      </x:c>
      <x:c r="C18" s="15" t="e">
        <x:f>HYPERLINK("https://pokecottage.com/pokemon-master-sets/pidgeotto","Pidgeotto")</x:f>
        <x:v>HYPERLINK is not implemented. linkLocation=https://pokecottage.com/pokemon-master-sets/pidgeotto, friendlyName=Pidgeotto</x:v>
      </x:c>
      <x:c r="D18" s="7" t="str">
        <x:v>Gen 1 • Kanto</x:v>
      </x:c>
      <x:c r="E18" s="7"/>
      <x:c r="F18" s="7"/>
    </x:row>
    <x:row r="19" ht="25" customHeight="1">
      <x:c r="A19" s="14" t="str">
        <x:v>☐</x:v>
      </x:c>
      <x:c r="B19" s="12" t="n">
        <x:v>18</x:v>
      </x:c>
      <x:c r="C19" s="16" t="e">
        <x:f>HYPERLINK("https://pokecottage.com/pokemon-master-sets/pidgeot","Pidgeot")</x:f>
        <x:v>HYPERLINK is not implemented. linkLocation=https://pokecottage.com/pokemon-master-sets/pidgeot, friendlyName=Pidgeot</x:v>
      </x:c>
      <x:c r="D19" s="8" t="str">
        <x:v>Gen 1 • Kanto</x:v>
      </x:c>
      <x:c r="E19" s="8"/>
      <x:c r="F19" s="8"/>
    </x:row>
    <x:row r="20" ht="25" customHeight="1">
      <x:c r="A20" s="13" t="str">
        <x:v>☐</x:v>
      </x:c>
      <x:c r="B20" s="11" t="n">
        <x:v>19</x:v>
      </x:c>
      <x:c r="C20" s="15" t="e">
        <x:f>HYPERLINK("https://pokecottage.com/pokemon-master-sets/rattata","Rattata")</x:f>
        <x:v>HYPERLINK is not implemented. linkLocation=https://pokecottage.com/pokemon-master-sets/rattata, friendlyName=Rattata</x:v>
      </x:c>
      <x:c r="D20" s="7" t="str">
        <x:v>Gen 1 • Kanto</x:v>
      </x:c>
      <x:c r="E20" s="7"/>
      <x:c r="F20" s="7"/>
    </x:row>
    <x:row r="21" ht="25" customHeight="1">
      <x:c r="A21" s="14" t="str">
        <x:v>☐</x:v>
      </x:c>
      <x:c r="B21" s="12" t="n">
        <x:v>20</x:v>
      </x:c>
      <x:c r="C21" s="16" t="e">
        <x:f>HYPERLINK("https://pokecottage.com/pokemon-master-sets/raticate","Raticate")</x:f>
        <x:v>HYPERLINK is not implemented. linkLocation=https://pokecottage.com/pokemon-master-sets/raticate, friendlyName=Raticate</x:v>
      </x:c>
      <x:c r="D21" s="8" t="str">
        <x:v>Gen 1 • Kanto</x:v>
      </x:c>
      <x:c r="E21" s="8"/>
      <x:c r="F21" s="8"/>
    </x:row>
    <x:row r="22" ht="25" customHeight="1">
      <x:c r="A22" s="13" t="str">
        <x:v>☐</x:v>
      </x:c>
      <x:c r="B22" s="11" t="n">
        <x:v>21</x:v>
      </x:c>
      <x:c r="C22" s="15" t="e">
        <x:f>HYPERLINK("https://pokecottage.com/pokemon-master-sets/spearow","Spearow")</x:f>
        <x:v>HYPERLINK is not implemented. linkLocation=https://pokecottage.com/pokemon-master-sets/spearow, friendlyName=Spearow</x:v>
      </x:c>
      <x:c r="D22" s="7" t="str">
        <x:v>Gen 1 • Kanto</x:v>
      </x:c>
      <x:c r="E22" s="7"/>
      <x:c r="F22" s="7"/>
    </x:row>
    <x:row r="23" ht="25" customHeight="1">
      <x:c r="A23" s="14" t="str">
        <x:v>☐</x:v>
      </x:c>
      <x:c r="B23" s="12" t="n">
        <x:v>22</x:v>
      </x:c>
      <x:c r="C23" s="16" t="e">
        <x:f>HYPERLINK("https://pokecottage.com/pokemon-master-sets/fearow","Fearow")</x:f>
        <x:v>HYPERLINK is not implemented. linkLocation=https://pokecottage.com/pokemon-master-sets/fearow, friendlyName=Fearow</x:v>
      </x:c>
      <x:c r="D23" s="8" t="str">
        <x:v>Gen 1 • Kanto</x:v>
      </x:c>
      <x:c r="E23" s="8"/>
      <x:c r="F23" s="8"/>
    </x:row>
    <x:row r="24" ht="25" customHeight="1">
      <x:c r="A24" s="13" t="str">
        <x:v>☐</x:v>
      </x:c>
      <x:c r="B24" s="11" t="n">
        <x:v>23</x:v>
      </x:c>
      <x:c r="C24" s="15" t="e">
        <x:f>HYPERLINK("https://pokecottage.com/pokemon-master-sets/ekans","Ekans")</x:f>
        <x:v>HYPERLINK is not implemented. linkLocation=https://pokecottage.com/pokemon-master-sets/ekans, friendlyName=Ekans</x:v>
      </x:c>
      <x:c r="D24" s="7" t="str">
        <x:v>Gen 1 • Kanto</x:v>
      </x:c>
      <x:c r="E24" s="7"/>
      <x:c r="F24" s="7"/>
    </x:row>
    <x:row r="25" ht="25" customHeight="1">
      <x:c r="A25" s="14" t="str">
        <x:v>☐</x:v>
      </x:c>
      <x:c r="B25" s="12" t="n">
        <x:v>24</x:v>
      </x:c>
      <x:c r="C25" s="16" t="e">
        <x:f>HYPERLINK("https://pokecottage.com/pokemon-master-sets/arbok","Arbok")</x:f>
        <x:v>HYPERLINK is not implemented. linkLocation=https://pokecottage.com/pokemon-master-sets/arbok, friendlyName=Arbok</x:v>
      </x:c>
      <x:c r="D25" s="8" t="str">
        <x:v>Gen 1 • Kanto</x:v>
      </x:c>
      <x:c r="E25" s="8"/>
      <x:c r="F25" s="8"/>
    </x:row>
    <x:row r="26" ht="25" customHeight="1">
      <x:c r="A26" s="13" t="str">
        <x:v>☐</x:v>
      </x:c>
      <x:c r="B26" s="11" t="n">
        <x:v>25</x:v>
      </x:c>
      <x:c r="C26" s="15" t="e">
        <x:f>HYPERLINK("https://pokecottage.com/pokemon-master-sets/pikachu","Pikachu")</x:f>
        <x:v>HYPERLINK is not implemented. linkLocation=https://pokecottage.com/pokemon-master-sets/pikachu, friendlyName=Pikachu</x:v>
      </x:c>
      <x:c r="D26" s="7" t="str">
        <x:v>Gen 1 • Kanto</x:v>
      </x:c>
      <x:c r="E26" s="7"/>
      <x:c r="F26" s="7"/>
    </x:row>
    <x:row r="27" ht="25" customHeight="1">
      <x:c r="A27" s="14" t="str">
        <x:v>☐</x:v>
      </x:c>
      <x:c r="B27" s="12" t="n">
        <x:v>26</x:v>
      </x:c>
      <x:c r="C27" s="16" t="e">
        <x:f>HYPERLINK("https://pokecottage.com/pokemon-master-sets/raichu","Raichu")</x:f>
        <x:v>HYPERLINK is not implemented. linkLocation=https://pokecottage.com/pokemon-master-sets/raichu, friendlyName=Raichu</x:v>
      </x:c>
      <x:c r="D27" s="8" t="str">
        <x:v>Gen 1 • Kanto</x:v>
      </x:c>
      <x:c r="E27" s="8"/>
      <x:c r="F27" s="8"/>
    </x:row>
    <x:row r="28" ht="25" customHeight="1">
      <x:c r="A28" s="13" t="str">
        <x:v>☐</x:v>
      </x:c>
      <x:c r="B28" s="11" t="n">
        <x:v>27</x:v>
      </x:c>
      <x:c r="C28" s="15" t="e">
        <x:f>HYPERLINK("https://pokecottage.com/pokemon-master-sets/sandshrew","Sandshrew")</x:f>
        <x:v>HYPERLINK is not implemented. linkLocation=https://pokecottage.com/pokemon-master-sets/sandshrew, friendlyName=Sandshrew</x:v>
      </x:c>
      <x:c r="D28" s="7" t="str">
        <x:v>Gen 1 • Kanto</x:v>
      </x:c>
      <x:c r="E28" s="7"/>
      <x:c r="F28" s="7"/>
    </x:row>
    <x:row r="29" ht="25" customHeight="1">
      <x:c r="A29" s="14" t="str">
        <x:v>☐</x:v>
      </x:c>
      <x:c r="B29" s="12" t="n">
        <x:v>28</x:v>
      </x:c>
      <x:c r="C29" s="16" t="e">
        <x:f>HYPERLINK("https://pokecottage.com/pokemon-master-sets/sandslash","Sandslash")</x:f>
        <x:v>HYPERLINK is not implemented. linkLocation=https://pokecottage.com/pokemon-master-sets/sandslash, friendlyName=Sandslash</x:v>
      </x:c>
      <x:c r="D29" s="8" t="str">
        <x:v>Gen 1 • Kanto</x:v>
      </x:c>
      <x:c r="E29" s="8"/>
      <x:c r="F29" s="8"/>
    </x:row>
    <x:row r="30" ht="25" customHeight="1">
      <x:c r="A30" s="13" t="str">
        <x:v>☐</x:v>
      </x:c>
      <x:c r="B30" s="11" t="n">
        <x:v>29</x:v>
      </x:c>
      <x:c r="C30" s="15" t="e">
        <x:f>HYPERLINK("https://pokecottage.com/pokemon-master-sets/nidoran-female","Nidoran♀")</x:f>
        <x:v>HYPERLINK is not implemented. linkLocation=https://pokecottage.com/pokemon-master-sets/nidoran-female, friendlyName=Nidoran♀</x:v>
      </x:c>
      <x:c r="D30" s="7" t="str">
        <x:v>Gen 1 • Kanto</x:v>
      </x:c>
      <x:c r="E30" s="7"/>
      <x:c r="F30" s="7"/>
    </x:row>
    <x:row r="31" ht="25" customHeight="1">
      <x:c r="A31" s="14" t="str">
        <x:v>☐</x:v>
      </x:c>
      <x:c r="B31" s="12" t="n">
        <x:v>30</x:v>
      </x:c>
      <x:c r="C31" s="16" t="e">
        <x:f>HYPERLINK("https://pokecottage.com/pokemon-master-sets/nidorina","Nidorina")</x:f>
        <x:v>HYPERLINK is not implemented. linkLocation=https://pokecottage.com/pokemon-master-sets/nidorina, friendlyName=Nidorina</x:v>
      </x:c>
      <x:c r="D31" s="8" t="str">
        <x:v>Gen 1 • Kanto</x:v>
      </x:c>
      <x:c r="E31" s="8"/>
      <x:c r="F31" s="8"/>
    </x:row>
    <x:row r="32" ht="25" customHeight="1">
      <x:c r="A32" s="13" t="str">
        <x:v>☐</x:v>
      </x:c>
      <x:c r="B32" s="11" t="n">
        <x:v>31</x:v>
      </x:c>
      <x:c r="C32" s="15" t="e">
        <x:f>HYPERLINK("https://pokecottage.com/pokemon-master-sets/nidoqueen","Nidoqueen")</x:f>
        <x:v>HYPERLINK is not implemented. linkLocation=https://pokecottage.com/pokemon-master-sets/nidoqueen, friendlyName=Nidoqueen</x:v>
      </x:c>
      <x:c r="D32" s="7" t="str">
        <x:v>Gen 1 • Kanto</x:v>
      </x:c>
      <x:c r="E32" s="7"/>
      <x:c r="F32" s="7"/>
    </x:row>
    <x:row r="33" ht="25" customHeight="1">
      <x:c r="A33" s="14" t="str">
        <x:v>☐</x:v>
      </x:c>
      <x:c r="B33" s="12" t="n">
        <x:v>32</x:v>
      </x:c>
      <x:c r="C33" s="16" t="e">
        <x:f>HYPERLINK("https://pokecottage.com/pokemon-master-sets/nidoran-male","Nidoran♂")</x:f>
        <x:v>HYPERLINK is not implemented. linkLocation=https://pokecottage.com/pokemon-master-sets/nidoran-male, friendlyName=Nidoran♂</x:v>
      </x:c>
      <x:c r="D33" s="8" t="str">
        <x:v>Gen 1 • Kanto</x:v>
      </x:c>
      <x:c r="E33" s="8"/>
      <x:c r="F33" s="8"/>
    </x:row>
    <x:row r="34" ht="25" customHeight="1">
      <x:c r="A34" s="13" t="str">
        <x:v>☐</x:v>
      </x:c>
      <x:c r="B34" s="11" t="n">
        <x:v>33</x:v>
      </x:c>
      <x:c r="C34" s="15" t="e">
        <x:f>HYPERLINK("https://pokecottage.com/pokemon-master-sets/nidorino","Nidorino")</x:f>
        <x:v>HYPERLINK is not implemented. linkLocation=https://pokecottage.com/pokemon-master-sets/nidorino, friendlyName=Nidorino</x:v>
      </x:c>
      <x:c r="D34" s="7" t="str">
        <x:v>Gen 1 • Kanto</x:v>
      </x:c>
      <x:c r="E34" s="7"/>
      <x:c r="F34" s="7"/>
    </x:row>
    <x:row r="35" ht="25" customHeight="1">
      <x:c r="A35" s="14" t="str">
        <x:v>☐</x:v>
      </x:c>
      <x:c r="B35" s="12" t="n">
        <x:v>34</x:v>
      </x:c>
      <x:c r="C35" s="16" t="e">
        <x:f>HYPERLINK("https://pokecottage.com/pokemon-master-sets/nidoking","Nidoking")</x:f>
        <x:v>HYPERLINK is not implemented. linkLocation=https://pokecottage.com/pokemon-master-sets/nidoking, friendlyName=Nidoking</x:v>
      </x:c>
      <x:c r="D35" s="8" t="str">
        <x:v>Gen 1 • Kanto</x:v>
      </x:c>
      <x:c r="E35" s="8"/>
      <x:c r="F35" s="8"/>
    </x:row>
    <x:row r="36" ht="25" customHeight="1">
      <x:c r="A36" s="13" t="str">
        <x:v>☐</x:v>
      </x:c>
      <x:c r="B36" s="11" t="n">
        <x:v>35</x:v>
      </x:c>
      <x:c r="C36" s="15" t="e">
        <x:f>HYPERLINK("https://pokecottage.com/pokemon-master-sets/clefairy","Clefairy")</x:f>
        <x:v>HYPERLINK is not implemented. linkLocation=https://pokecottage.com/pokemon-master-sets/clefairy, friendlyName=Clefairy</x:v>
      </x:c>
      <x:c r="D36" s="7" t="str">
        <x:v>Gen 1 • Kanto</x:v>
      </x:c>
      <x:c r="E36" s="7"/>
      <x:c r="F36" s="7"/>
    </x:row>
    <x:row r="37" ht="25" customHeight="1">
      <x:c r="A37" s="14" t="str">
        <x:v>☐</x:v>
      </x:c>
      <x:c r="B37" s="12" t="n">
        <x:v>36</x:v>
      </x:c>
      <x:c r="C37" s="16" t="e">
        <x:f>HYPERLINK("https://pokecottage.com/pokemon-master-sets/clefable","Clefable")</x:f>
        <x:v>HYPERLINK is not implemented. linkLocation=https://pokecottage.com/pokemon-master-sets/clefable, friendlyName=Clefable</x:v>
      </x:c>
      <x:c r="D37" s="8" t="str">
        <x:v>Gen 1 • Kanto</x:v>
      </x:c>
      <x:c r="E37" s="8"/>
      <x:c r="F37" s="8"/>
    </x:row>
    <x:row r="38" ht="25" customHeight="1">
      <x:c r="A38" s="13" t="str">
        <x:v>☐</x:v>
      </x:c>
      <x:c r="B38" s="11" t="n">
        <x:v>37</x:v>
      </x:c>
      <x:c r="C38" s="15" t="e">
        <x:f>HYPERLINK("https://pokecottage.com/pokemon-master-sets/vulpix","Vulpix")</x:f>
        <x:v>HYPERLINK is not implemented. linkLocation=https://pokecottage.com/pokemon-master-sets/vulpix, friendlyName=Vulpix</x:v>
      </x:c>
      <x:c r="D38" s="7" t="str">
        <x:v>Gen 1 • Kanto</x:v>
      </x:c>
      <x:c r="E38" s="7"/>
      <x:c r="F38" s="7"/>
    </x:row>
    <x:row r="39" ht="25" customHeight="1">
      <x:c r="A39" s="14" t="str">
        <x:v>☐</x:v>
      </x:c>
      <x:c r="B39" s="12" t="n">
        <x:v>38</x:v>
      </x:c>
      <x:c r="C39" s="16" t="e">
        <x:f>HYPERLINK("https://pokecottage.com/pokemon-master-sets/ninetales","Ninetales")</x:f>
        <x:v>HYPERLINK is not implemented. linkLocation=https://pokecottage.com/pokemon-master-sets/ninetales, friendlyName=Ninetales</x:v>
      </x:c>
      <x:c r="D39" s="8" t="str">
        <x:v>Gen 1 • Kanto</x:v>
      </x:c>
      <x:c r="E39" s="8"/>
      <x:c r="F39" s="8"/>
    </x:row>
    <x:row r="40" ht="25" customHeight="1">
      <x:c r="A40" s="13" t="str">
        <x:v>☐</x:v>
      </x:c>
      <x:c r="B40" s="11" t="n">
        <x:v>39</x:v>
      </x:c>
      <x:c r="C40" s="15" t="e">
        <x:f>HYPERLINK("https://pokecottage.com/pokemon-master-sets/jigglypuff","Jigglypuff")</x:f>
        <x:v>HYPERLINK is not implemented. linkLocation=https://pokecottage.com/pokemon-master-sets/jigglypuff, friendlyName=Jigglypuff</x:v>
      </x:c>
      <x:c r="D40" s="7" t="str">
        <x:v>Gen 1 • Kanto</x:v>
      </x:c>
      <x:c r="E40" s="7"/>
      <x:c r="F40" s="7"/>
    </x:row>
    <x:row r="41" ht="25" customHeight="1">
      <x:c r="A41" s="14" t="str">
        <x:v>☐</x:v>
      </x:c>
      <x:c r="B41" s="12" t="n">
        <x:v>40</x:v>
      </x:c>
      <x:c r="C41" s="16" t="e">
        <x:f>HYPERLINK("https://pokecottage.com/pokemon-master-sets/wigglytuff","Wigglytuff")</x:f>
        <x:v>HYPERLINK is not implemented. linkLocation=https://pokecottage.com/pokemon-master-sets/wigglytuff, friendlyName=Wigglytuff</x:v>
      </x:c>
      <x:c r="D41" s="8" t="str">
        <x:v>Gen 1 • Kanto</x:v>
      </x:c>
      <x:c r="E41" s="8"/>
      <x:c r="F41" s="8"/>
    </x:row>
    <x:row r="42" ht="25" customHeight="1">
      <x:c r="A42" s="13" t="str">
        <x:v>☐</x:v>
      </x:c>
      <x:c r="B42" s="11" t="n">
        <x:v>41</x:v>
      </x:c>
      <x:c r="C42" s="15" t="e">
        <x:f>HYPERLINK("https://pokecottage.com/pokemon-master-sets/zubat","Zubat")</x:f>
        <x:v>HYPERLINK is not implemented. linkLocation=https://pokecottage.com/pokemon-master-sets/zubat, friendlyName=Zubat</x:v>
      </x:c>
      <x:c r="D42" s="7" t="str">
        <x:v>Gen 1 • Kanto</x:v>
      </x:c>
      <x:c r="E42" s="7"/>
      <x:c r="F42" s="7"/>
    </x:row>
    <x:row r="43" ht="25" customHeight="1">
      <x:c r="A43" s="14" t="str">
        <x:v>☐</x:v>
      </x:c>
      <x:c r="B43" s="12" t="n">
        <x:v>42</x:v>
      </x:c>
      <x:c r="C43" s="16" t="e">
        <x:f>HYPERLINK("https://pokecottage.com/pokemon-master-sets/golbat","Golbat")</x:f>
        <x:v>HYPERLINK is not implemented. linkLocation=https://pokecottage.com/pokemon-master-sets/golbat, friendlyName=Golbat</x:v>
      </x:c>
      <x:c r="D43" s="8" t="str">
        <x:v>Gen 1 • Kanto</x:v>
      </x:c>
      <x:c r="E43" s="8"/>
      <x:c r="F43" s="8"/>
    </x:row>
    <x:row r="44" ht="25" customHeight="1">
      <x:c r="A44" s="13" t="str">
        <x:v>☐</x:v>
      </x:c>
      <x:c r="B44" s="11" t="n">
        <x:v>43</x:v>
      </x:c>
      <x:c r="C44" s="15" t="e">
        <x:f>HYPERLINK("https://pokecottage.com/pokemon-master-sets/oddish","Oddish")</x:f>
        <x:v>HYPERLINK is not implemented. linkLocation=https://pokecottage.com/pokemon-master-sets/oddish, friendlyName=Oddish</x:v>
      </x:c>
      <x:c r="D44" s="7" t="str">
        <x:v>Gen 1 • Kanto</x:v>
      </x:c>
      <x:c r="E44" s="7"/>
      <x:c r="F44" s="7"/>
    </x:row>
    <x:row r="45" ht="25" customHeight="1">
      <x:c r="A45" s="14" t="str">
        <x:v>☐</x:v>
      </x:c>
      <x:c r="B45" s="12" t="n">
        <x:v>44</x:v>
      </x:c>
      <x:c r="C45" s="16" t="e">
        <x:f>HYPERLINK("https://pokecottage.com/pokemon-master-sets/gloom","Gloom")</x:f>
        <x:v>HYPERLINK is not implemented. linkLocation=https://pokecottage.com/pokemon-master-sets/gloom, friendlyName=Gloom</x:v>
      </x:c>
      <x:c r="D45" s="8" t="str">
        <x:v>Gen 1 • Kanto</x:v>
      </x:c>
      <x:c r="E45" s="8"/>
      <x:c r="F45" s="8"/>
    </x:row>
    <x:row r="46" ht="25" customHeight="1">
      <x:c r="A46" s="13" t="str">
        <x:v>☐</x:v>
      </x:c>
      <x:c r="B46" s="11" t="n">
        <x:v>45</x:v>
      </x:c>
      <x:c r="C46" s="15" t="e">
        <x:f>HYPERLINK("https://pokecottage.com/pokemon-master-sets/vileplume","Vileplume")</x:f>
        <x:v>HYPERLINK is not implemented. linkLocation=https://pokecottage.com/pokemon-master-sets/vileplume, friendlyName=Vileplume</x:v>
      </x:c>
      <x:c r="D46" s="7" t="str">
        <x:v>Gen 1 • Kanto</x:v>
      </x:c>
      <x:c r="E46" s="7"/>
      <x:c r="F46" s="7"/>
    </x:row>
    <x:row r="47" ht="25" customHeight="1">
      <x:c r="A47" s="14" t="str">
        <x:v>☐</x:v>
      </x:c>
      <x:c r="B47" s="12" t="n">
        <x:v>46</x:v>
      </x:c>
      <x:c r="C47" s="16" t="e">
        <x:f>HYPERLINK("https://pokecottage.com/pokemon-master-sets/paras","Paras")</x:f>
        <x:v>HYPERLINK is not implemented. linkLocation=https://pokecottage.com/pokemon-master-sets/paras, friendlyName=Paras</x:v>
      </x:c>
      <x:c r="D47" s="8" t="str">
        <x:v>Gen 1 • Kanto</x:v>
      </x:c>
      <x:c r="E47" s="8"/>
      <x:c r="F47" s="8"/>
    </x:row>
    <x:row r="48" ht="25" customHeight="1">
      <x:c r="A48" s="13" t="str">
        <x:v>☐</x:v>
      </x:c>
      <x:c r="B48" s="11" t="n">
        <x:v>47</x:v>
      </x:c>
      <x:c r="C48" s="15" t="e">
        <x:f>HYPERLINK("https://pokecottage.com/pokemon-master-sets/parasect","Parasect")</x:f>
        <x:v>HYPERLINK is not implemented. linkLocation=https://pokecottage.com/pokemon-master-sets/parasect, friendlyName=Parasect</x:v>
      </x:c>
      <x:c r="D48" s="7" t="str">
        <x:v>Gen 1 • Kanto</x:v>
      </x:c>
      <x:c r="E48" s="7"/>
      <x:c r="F48" s="7"/>
    </x:row>
    <x:row r="49" ht="25" customHeight="1">
      <x:c r="A49" s="14" t="str">
        <x:v>☐</x:v>
      </x:c>
      <x:c r="B49" s="12" t="n">
        <x:v>48</x:v>
      </x:c>
      <x:c r="C49" s="16" t="e">
        <x:f>HYPERLINK("https://pokecottage.com/pokemon-master-sets/venonat","Venonat")</x:f>
        <x:v>HYPERLINK is not implemented. linkLocation=https://pokecottage.com/pokemon-master-sets/venonat, friendlyName=Venonat</x:v>
      </x:c>
      <x:c r="D49" s="8" t="str">
        <x:v>Gen 1 • Kanto</x:v>
      </x:c>
      <x:c r="E49" s="8"/>
      <x:c r="F49" s="8"/>
    </x:row>
    <x:row r="50" ht="25" customHeight="1">
      <x:c r="A50" s="13" t="str">
        <x:v>☐</x:v>
      </x:c>
      <x:c r="B50" s="11" t="n">
        <x:v>49</x:v>
      </x:c>
      <x:c r="C50" s="15" t="e">
        <x:f>HYPERLINK("https://pokecottage.com/pokemon-master-sets/venomoth","Venomoth")</x:f>
        <x:v>HYPERLINK is not implemented. linkLocation=https://pokecottage.com/pokemon-master-sets/venomoth, friendlyName=Venomoth</x:v>
      </x:c>
      <x:c r="D50" s="7" t="str">
        <x:v>Gen 1 • Kanto</x:v>
      </x:c>
      <x:c r="E50" s="7"/>
      <x:c r="F50" s="7"/>
    </x:row>
    <x:row r="51" ht="25" customHeight="1">
      <x:c r="A51" s="14" t="str">
        <x:v>☐</x:v>
      </x:c>
      <x:c r="B51" s="12" t="n">
        <x:v>50</x:v>
      </x:c>
      <x:c r="C51" s="16" t="e">
        <x:f>HYPERLINK("https://pokecottage.com/pokemon-master-sets/diglett","Diglett")</x:f>
        <x:v>HYPERLINK is not implemented. linkLocation=https://pokecottage.com/pokemon-master-sets/diglett, friendlyName=Diglett</x:v>
      </x:c>
      <x:c r="D51" s="8" t="str">
        <x:v>Gen 1 • Kanto</x:v>
      </x:c>
      <x:c r="E51" s="8"/>
      <x:c r="F51" s="8"/>
    </x:row>
    <x:row r="52" ht="25" customHeight="1">
      <x:c r="A52" s="13" t="str">
        <x:v>☐</x:v>
      </x:c>
      <x:c r="B52" s="11" t="n">
        <x:v>51</x:v>
      </x:c>
      <x:c r="C52" s="15" t="e">
        <x:f>HYPERLINK("https://pokecottage.com/pokemon-master-sets/dugtrio","Dugtrio")</x:f>
        <x:v>HYPERLINK is not implemented. linkLocation=https://pokecottage.com/pokemon-master-sets/dugtrio, friendlyName=Dugtrio</x:v>
      </x:c>
      <x:c r="D52" s="7" t="str">
        <x:v>Gen 1 • Kanto</x:v>
      </x:c>
      <x:c r="E52" s="7"/>
      <x:c r="F52" s="7"/>
    </x:row>
    <x:row r="53" ht="25" customHeight="1">
      <x:c r="A53" s="14" t="str">
        <x:v>☐</x:v>
      </x:c>
      <x:c r="B53" s="12" t="n">
        <x:v>52</x:v>
      </x:c>
      <x:c r="C53" s="16" t="e">
        <x:f>HYPERLINK("https://pokecottage.com/pokemon-master-sets/meowth","Meowth")</x:f>
        <x:v>HYPERLINK is not implemented. linkLocation=https://pokecottage.com/pokemon-master-sets/meowth, friendlyName=Meowth</x:v>
      </x:c>
      <x:c r="D53" s="8" t="str">
        <x:v>Gen 1 • Kanto</x:v>
      </x:c>
      <x:c r="E53" s="8"/>
      <x:c r="F53" s="8"/>
    </x:row>
    <x:row r="54" ht="25" customHeight="1">
      <x:c r="A54" s="13" t="str">
        <x:v>☐</x:v>
      </x:c>
      <x:c r="B54" s="11" t="n">
        <x:v>53</x:v>
      </x:c>
      <x:c r="C54" s="15" t="e">
        <x:f>HYPERLINK("https://pokecottage.com/pokemon-master-sets/persian","Persian")</x:f>
        <x:v>HYPERLINK is not implemented. linkLocation=https://pokecottage.com/pokemon-master-sets/persian, friendlyName=Persian</x:v>
      </x:c>
      <x:c r="D54" s="7" t="str">
        <x:v>Gen 1 • Kanto</x:v>
      </x:c>
      <x:c r="E54" s="7"/>
      <x:c r="F54" s="7"/>
    </x:row>
    <x:row r="55" ht="25" customHeight="1">
      <x:c r="A55" s="14" t="str">
        <x:v>☐</x:v>
      </x:c>
      <x:c r="B55" s="12" t="n">
        <x:v>54</x:v>
      </x:c>
      <x:c r="C55" s="16" t="e">
        <x:f>HYPERLINK("https://pokecottage.com/pokemon-master-sets/psyduck","Psyduck")</x:f>
        <x:v>HYPERLINK is not implemented. linkLocation=https://pokecottage.com/pokemon-master-sets/psyduck, friendlyName=Psyduck</x:v>
      </x:c>
      <x:c r="D55" s="8" t="str">
        <x:v>Gen 1 • Kanto</x:v>
      </x:c>
      <x:c r="E55" s="8"/>
      <x:c r="F55" s="8"/>
    </x:row>
    <x:row r="56" ht="25" customHeight="1">
      <x:c r="A56" s="13" t="str">
        <x:v>☐</x:v>
      </x:c>
      <x:c r="B56" s="11" t="n">
        <x:v>55</x:v>
      </x:c>
      <x:c r="C56" s="15" t="e">
        <x:f>HYPERLINK("https://pokecottage.com/pokemon-master-sets/golduck","Golduck")</x:f>
        <x:v>HYPERLINK is not implemented. linkLocation=https://pokecottage.com/pokemon-master-sets/golduck, friendlyName=Golduck</x:v>
      </x:c>
      <x:c r="D56" s="7" t="str">
        <x:v>Gen 1 • Kanto</x:v>
      </x:c>
      <x:c r="E56" s="7"/>
      <x:c r="F56" s="7"/>
    </x:row>
    <x:row r="57" ht="25" customHeight="1">
      <x:c r="A57" s="14" t="str">
        <x:v>☐</x:v>
      </x:c>
      <x:c r="B57" s="12" t="n">
        <x:v>56</x:v>
      </x:c>
      <x:c r="C57" s="16" t="e">
        <x:f>HYPERLINK("https://pokecottage.com/pokemon-master-sets/mankey","Mankey")</x:f>
        <x:v>HYPERLINK is not implemented. linkLocation=https://pokecottage.com/pokemon-master-sets/mankey, friendlyName=Mankey</x:v>
      </x:c>
      <x:c r="D57" s="8" t="str">
        <x:v>Gen 1 • Kanto</x:v>
      </x:c>
      <x:c r="E57" s="8"/>
      <x:c r="F57" s="8"/>
    </x:row>
    <x:row r="58" ht="25" customHeight="1">
      <x:c r="A58" s="13" t="str">
        <x:v>☐</x:v>
      </x:c>
      <x:c r="B58" s="11" t="n">
        <x:v>57</x:v>
      </x:c>
      <x:c r="C58" s="15" t="e">
        <x:f>HYPERLINK("https://pokecottage.com/pokemon-master-sets/primeape","Primeape")</x:f>
        <x:v>HYPERLINK is not implemented. linkLocation=https://pokecottage.com/pokemon-master-sets/primeape, friendlyName=Primeape</x:v>
      </x:c>
      <x:c r="D58" s="7" t="str">
        <x:v>Gen 1 • Kanto</x:v>
      </x:c>
      <x:c r="E58" s="7"/>
      <x:c r="F58" s="7"/>
    </x:row>
    <x:row r="59" ht="25" customHeight="1">
      <x:c r="A59" s="14" t="str">
        <x:v>☐</x:v>
      </x:c>
      <x:c r="B59" s="12" t="n">
        <x:v>58</x:v>
      </x:c>
      <x:c r="C59" s="16" t="e">
        <x:f>HYPERLINK("https://pokecottage.com/pokemon-master-sets/growlithe","Growlithe")</x:f>
        <x:v>HYPERLINK is not implemented. linkLocation=https://pokecottage.com/pokemon-master-sets/growlithe, friendlyName=Growlithe</x:v>
      </x:c>
      <x:c r="D59" s="8" t="str">
        <x:v>Gen 1 • Kanto</x:v>
      </x:c>
      <x:c r="E59" s="8"/>
      <x:c r="F59" s="8"/>
    </x:row>
    <x:row r="60" ht="25" customHeight="1">
      <x:c r="A60" s="13" t="str">
        <x:v>☐</x:v>
      </x:c>
      <x:c r="B60" s="11" t="n">
        <x:v>59</x:v>
      </x:c>
      <x:c r="C60" s="15" t="e">
        <x:f>HYPERLINK("https://pokecottage.com/pokemon-master-sets/arcanine","Arcanine")</x:f>
        <x:v>HYPERLINK is not implemented. linkLocation=https://pokecottage.com/pokemon-master-sets/arcanine, friendlyName=Arcanine</x:v>
      </x:c>
      <x:c r="D60" s="7" t="str">
        <x:v>Gen 1 • Kanto</x:v>
      </x:c>
      <x:c r="E60" s="7"/>
      <x:c r="F60" s="7"/>
    </x:row>
    <x:row r="61" ht="25" customHeight="1">
      <x:c r="A61" s="14" t="str">
        <x:v>☐</x:v>
      </x:c>
      <x:c r="B61" s="12" t="n">
        <x:v>60</x:v>
      </x:c>
      <x:c r="C61" s="16" t="e">
        <x:f>HYPERLINK("https://pokecottage.com/pokemon-master-sets/poliwag","Poliwag")</x:f>
        <x:v>HYPERLINK is not implemented. linkLocation=https://pokecottage.com/pokemon-master-sets/poliwag, friendlyName=Poliwag</x:v>
      </x:c>
      <x:c r="D61" s="8" t="str">
        <x:v>Gen 1 • Kanto</x:v>
      </x:c>
      <x:c r="E61" s="8"/>
      <x:c r="F61" s="8"/>
    </x:row>
    <x:row r="62" ht="25" customHeight="1">
      <x:c r="A62" s="13" t="str">
        <x:v>☐</x:v>
      </x:c>
      <x:c r="B62" s="11" t="n">
        <x:v>61</x:v>
      </x:c>
      <x:c r="C62" s="15" t="e">
        <x:f>HYPERLINK("https://pokecottage.com/pokemon-master-sets/poliwhirl","Poliwhirl")</x:f>
        <x:v>HYPERLINK is not implemented. linkLocation=https://pokecottage.com/pokemon-master-sets/poliwhirl, friendlyName=Poliwhirl</x:v>
      </x:c>
      <x:c r="D62" s="7" t="str">
        <x:v>Gen 1 • Kanto</x:v>
      </x:c>
      <x:c r="E62" s="7"/>
      <x:c r="F62" s="7"/>
    </x:row>
    <x:row r="63" ht="25" customHeight="1">
      <x:c r="A63" s="14" t="str">
        <x:v>☐</x:v>
      </x:c>
      <x:c r="B63" s="12" t="n">
        <x:v>62</x:v>
      </x:c>
      <x:c r="C63" s="16" t="e">
        <x:f>HYPERLINK("https://pokecottage.com/pokemon-master-sets/poliwrath","Poliwrath")</x:f>
        <x:v>HYPERLINK is not implemented. linkLocation=https://pokecottage.com/pokemon-master-sets/poliwrath, friendlyName=Poliwrath</x:v>
      </x:c>
      <x:c r="D63" s="8" t="str">
        <x:v>Gen 1 • Kanto</x:v>
      </x:c>
      <x:c r="E63" s="8"/>
      <x:c r="F63" s="8"/>
    </x:row>
    <x:row r="64" ht="25" customHeight="1">
      <x:c r="A64" s="13" t="str">
        <x:v>☐</x:v>
      </x:c>
      <x:c r="B64" s="11" t="n">
        <x:v>63</x:v>
      </x:c>
      <x:c r="C64" s="15" t="e">
        <x:f>HYPERLINK("https://pokecottage.com/pokemon-master-sets/abra","Abra")</x:f>
        <x:v>HYPERLINK is not implemented. linkLocation=https://pokecottage.com/pokemon-master-sets/abra, friendlyName=Abra</x:v>
      </x:c>
      <x:c r="D64" s="7" t="str">
        <x:v>Gen 1 • Kanto</x:v>
      </x:c>
      <x:c r="E64" s="7"/>
      <x:c r="F64" s="7"/>
    </x:row>
    <x:row r="65" ht="25" customHeight="1">
      <x:c r="A65" s="14" t="str">
        <x:v>☐</x:v>
      </x:c>
      <x:c r="B65" s="12" t="n">
        <x:v>64</x:v>
      </x:c>
      <x:c r="C65" s="16" t="e">
        <x:f>HYPERLINK("https://pokecottage.com/pokemon-master-sets/kadabra","Kadabra")</x:f>
        <x:v>HYPERLINK is not implemented. linkLocation=https://pokecottage.com/pokemon-master-sets/kadabra, friendlyName=Kadabra</x:v>
      </x:c>
      <x:c r="D65" s="8" t="str">
        <x:v>Gen 1 • Kanto</x:v>
      </x:c>
      <x:c r="E65" s="8"/>
      <x:c r="F65" s="8"/>
    </x:row>
    <x:row r="66" ht="25" customHeight="1">
      <x:c r="A66" s="13" t="str">
        <x:v>☐</x:v>
      </x:c>
      <x:c r="B66" s="11" t="n">
        <x:v>65</x:v>
      </x:c>
      <x:c r="C66" s="15" t="e">
        <x:f>HYPERLINK("https://pokecottage.com/pokemon-master-sets/alakazam","Alakazam")</x:f>
        <x:v>HYPERLINK is not implemented. linkLocation=https://pokecottage.com/pokemon-master-sets/alakazam, friendlyName=Alakazam</x:v>
      </x:c>
      <x:c r="D66" s="7" t="str">
        <x:v>Gen 1 • Kanto</x:v>
      </x:c>
      <x:c r="E66" s="7"/>
      <x:c r="F66" s="7"/>
    </x:row>
    <x:row r="67" ht="25" customHeight="1">
      <x:c r="A67" s="14" t="str">
        <x:v>☐</x:v>
      </x:c>
      <x:c r="B67" s="12" t="n">
        <x:v>66</x:v>
      </x:c>
      <x:c r="C67" s="16" t="e">
        <x:f>HYPERLINK("https://pokecottage.com/pokemon-master-sets/machop","Machop")</x:f>
        <x:v>HYPERLINK is not implemented. linkLocation=https://pokecottage.com/pokemon-master-sets/machop, friendlyName=Machop</x:v>
      </x:c>
      <x:c r="D67" s="8" t="str">
        <x:v>Gen 1 • Kanto</x:v>
      </x:c>
      <x:c r="E67" s="8"/>
      <x:c r="F67" s="8"/>
    </x:row>
    <x:row r="68" ht="25" customHeight="1">
      <x:c r="A68" s="13" t="str">
        <x:v>☐</x:v>
      </x:c>
      <x:c r="B68" s="11" t="n">
        <x:v>67</x:v>
      </x:c>
      <x:c r="C68" s="15" t="e">
        <x:f>HYPERLINK("https://pokecottage.com/pokemon-master-sets/machoke","Machoke")</x:f>
        <x:v>HYPERLINK is not implemented. linkLocation=https://pokecottage.com/pokemon-master-sets/machoke, friendlyName=Machoke</x:v>
      </x:c>
      <x:c r="D68" s="7" t="str">
        <x:v>Gen 1 • Kanto</x:v>
      </x:c>
      <x:c r="E68" s="7"/>
      <x:c r="F68" s="7"/>
    </x:row>
    <x:row r="69" ht="25" customHeight="1">
      <x:c r="A69" s="14" t="str">
        <x:v>☐</x:v>
      </x:c>
      <x:c r="B69" s="12" t="n">
        <x:v>68</x:v>
      </x:c>
      <x:c r="C69" s="16" t="e">
        <x:f>HYPERLINK("https://pokecottage.com/pokemon-master-sets/machamp","Machamp")</x:f>
        <x:v>HYPERLINK is not implemented. linkLocation=https://pokecottage.com/pokemon-master-sets/machamp, friendlyName=Machamp</x:v>
      </x:c>
      <x:c r="D69" s="8" t="str">
        <x:v>Gen 1 • Kanto</x:v>
      </x:c>
      <x:c r="E69" s="8"/>
      <x:c r="F69" s="8"/>
    </x:row>
    <x:row r="70" ht="25" customHeight="1">
      <x:c r="A70" s="13" t="str">
        <x:v>☐</x:v>
      </x:c>
      <x:c r="B70" s="11" t="n">
        <x:v>69</x:v>
      </x:c>
      <x:c r="C70" s="15" t="e">
        <x:f>HYPERLINK("https://pokecottage.com/pokemon-master-sets/bellsprout","Bellsprout")</x:f>
        <x:v>HYPERLINK is not implemented. linkLocation=https://pokecottage.com/pokemon-master-sets/bellsprout, friendlyName=Bellsprout</x:v>
      </x:c>
      <x:c r="D70" s="7" t="str">
        <x:v>Gen 1 • Kanto</x:v>
      </x:c>
      <x:c r="E70" s="7"/>
      <x:c r="F70" s="7"/>
    </x:row>
    <x:row r="71" ht="25" customHeight="1">
      <x:c r="A71" s="14" t="str">
        <x:v>☐</x:v>
      </x:c>
      <x:c r="B71" s="12" t="n">
        <x:v>70</x:v>
      </x:c>
      <x:c r="C71" s="16" t="e">
        <x:f>HYPERLINK("https://pokecottage.com/pokemon-master-sets/weepinbell","Weepinbell")</x:f>
        <x:v>HYPERLINK is not implemented. linkLocation=https://pokecottage.com/pokemon-master-sets/weepinbell, friendlyName=Weepinbell</x:v>
      </x:c>
      <x:c r="D71" s="8" t="str">
        <x:v>Gen 1 • Kanto</x:v>
      </x:c>
      <x:c r="E71" s="8"/>
      <x:c r="F71" s="8"/>
    </x:row>
    <x:row r="72" ht="25" customHeight="1">
      <x:c r="A72" s="13" t="str">
        <x:v>☐</x:v>
      </x:c>
      <x:c r="B72" s="11" t="n">
        <x:v>71</x:v>
      </x:c>
      <x:c r="C72" s="15" t="e">
        <x:f>HYPERLINK("https://pokecottage.com/pokemon-master-sets/victreebel","Victreebel")</x:f>
        <x:v>HYPERLINK is not implemented. linkLocation=https://pokecottage.com/pokemon-master-sets/victreebel, friendlyName=Victreebel</x:v>
      </x:c>
      <x:c r="D72" s="7" t="str">
        <x:v>Gen 1 • Kanto</x:v>
      </x:c>
      <x:c r="E72" s="7"/>
      <x:c r="F72" s="7"/>
    </x:row>
    <x:row r="73" ht="25" customHeight="1">
      <x:c r="A73" s="14" t="str">
        <x:v>☐</x:v>
      </x:c>
      <x:c r="B73" s="12" t="n">
        <x:v>72</x:v>
      </x:c>
      <x:c r="C73" s="16" t="e">
        <x:f>HYPERLINK("https://pokecottage.com/pokemon-master-sets/tentacool","Tentacool")</x:f>
        <x:v>HYPERLINK is not implemented. linkLocation=https://pokecottage.com/pokemon-master-sets/tentacool, friendlyName=Tentacool</x:v>
      </x:c>
      <x:c r="D73" s="8" t="str">
        <x:v>Gen 1 • Kanto</x:v>
      </x:c>
      <x:c r="E73" s="8"/>
      <x:c r="F73" s="8"/>
    </x:row>
    <x:row r="74" ht="25" customHeight="1">
      <x:c r="A74" s="13" t="str">
        <x:v>☐</x:v>
      </x:c>
      <x:c r="B74" s="11" t="n">
        <x:v>73</x:v>
      </x:c>
      <x:c r="C74" s="15" t="e">
        <x:f>HYPERLINK("https://pokecottage.com/pokemon-master-sets/tentacruel","Tentacruel")</x:f>
        <x:v>HYPERLINK is not implemented. linkLocation=https://pokecottage.com/pokemon-master-sets/tentacruel, friendlyName=Tentacruel</x:v>
      </x:c>
      <x:c r="D74" s="7" t="str">
        <x:v>Gen 1 • Kanto</x:v>
      </x:c>
      <x:c r="E74" s="7"/>
      <x:c r="F74" s="7"/>
    </x:row>
    <x:row r="75" ht="25" customHeight="1">
      <x:c r="A75" s="14" t="str">
        <x:v>☐</x:v>
      </x:c>
      <x:c r="B75" s="12" t="n">
        <x:v>74</x:v>
      </x:c>
      <x:c r="C75" s="16" t="e">
        <x:f>HYPERLINK("https://pokecottage.com/pokemon-master-sets/geodude","Geodude")</x:f>
        <x:v>HYPERLINK is not implemented. linkLocation=https://pokecottage.com/pokemon-master-sets/geodude, friendlyName=Geodude</x:v>
      </x:c>
      <x:c r="D75" s="8" t="str">
        <x:v>Gen 1 • Kanto</x:v>
      </x:c>
      <x:c r="E75" s="8"/>
      <x:c r="F75" s="8"/>
    </x:row>
    <x:row r="76" ht="25" customHeight="1">
      <x:c r="A76" s="13" t="str">
        <x:v>☐</x:v>
      </x:c>
      <x:c r="B76" s="11" t="n">
        <x:v>75</x:v>
      </x:c>
      <x:c r="C76" s="15" t="e">
        <x:f>HYPERLINK("https://pokecottage.com/pokemon-master-sets/graveler","Graveler")</x:f>
        <x:v>HYPERLINK is not implemented. linkLocation=https://pokecottage.com/pokemon-master-sets/graveler, friendlyName=Graveler</x:v>
      </x:c>
      <x:c r="D76" s="7" t="str">
        <x:v>Gen 1 • Kanto</x:v>
      </x:c>
      <x:c r="E76" s="7"/>
      <x:c r="F76" s="7"/>
    </x:row>
    <x:row r="77" ht="25" customHeight="1">
      <x:c r="A77" s="14" t="str">
        <x:v>☐</x:v>
      </x:c>
      <x:c r="B77" s="12" t="n">
        <x:v>76</x:v>
      </x:c>
      <x:c r="C77" s="16" t="e">
        <x:f>HYPERLINK("https://pokecottage.com/pokemon-master-sets/golem","Golem")</x:f>
        <x:v>HYPERLINK is not implemented. linkLocation=https://pokecottage.com/pokemon-master-sets/golem, friendlyName=Golem</x:v>
      </x:c>
      <x:c r="D77" s="8" t="str">
        <x:v>Gen 1 • Kanto</x:v>
      </x:c>
      <x:c r="E77" s="8"/>
      <x:c r="F77" s="8"/>
    </x:row>
    <x:row r="78" ht="25" customHeight="1">
      <x:c r="A78" s="13" t="str">
        <x:v>☐</x:v>
      </x:c>
      <x:c r="B78" s="11" t="n">
        <x:v>77</x:v>
      </x:c>
      <x:c r="C78" s="15" t="e">
        <x:f>HYPERLINK("https://pokecottage.com/pokemon-master-sets/ponyta","Ponyta")</x:f>
        <x:v>HYPERLINK is not implemented. linkLocation=https://pokecottage.com/pokemon-master-sets/ponyta, friendlyName=Ponyta</x:v>
      </x:c>
      <x:c r="D78" s="7" t="str">
        <x:v>Gen 1 • Kanto</x:v>
      </x:c>
      <x:c r="E78" s="7"/>
      <x:c r="F78" s="7"/>
    </x:row>
    <x:row r="79" ht="25" customHeight="1">
      <x:c r="A79" s="14" t="str">
        <x:v>☐</x:v>
      </x:c>
      <x:c r="B79" s="12" t="n">
        <x:v>78</x:v>
      </x:c>
      <x:c r="C79" s="16" t="e">
        <x:f>HYPERLINK("https://pokecottage.com/pokemon-master-sets/rapidash","Rapidash")</x:f>
        <x:v>HYPERLINK is not implemented. linkLocation=https://pokecottage.com/pokemon-master-sets/rapidash, friendlyName=Rapidash</x:v>
      </x:c>
      <x:c r="D79" s="8" t="str">
        <x:v>Gen 1 • Kanto</x:v>
      </x:c>
      <x:c r="E79" s="8"/>
      <x:c r="F79" s="8"/>
    </x:row>
    <x:row r="80" ht="25" customHeight="1">
      <x:c r="A80" s="13" t="str">
        <x:v>☐</x:v>
      </x:c>
      <x:c r="B80" s="11" t="n">
        <x:v>79</x:v>
      </x:c>
      <x:c r="C80" s="15" t="e">
        <x:f>HYPERLINK("https://pokecottage.com/pokemon-master-sets/slowpoke","Slowpoke")</x:f>
        <x:v>HYPERLINK is not implemented. linkLocation=https://pokecottage.com/pokemon-master-sets/slowpoke, friendlyName=Slowpoke</x:v>
      </x:c>
      <x:c r="D80" s="7" t="str">
        <x:v>Gen 1 • Kanto</x:v>
      </x:c>
      <x:c r="E80" s="7"/>
      <x:c r="F80" s="7"/>
    </x:row>
    <x:row r="81" ht="25" customHeight="1">
      <x:c r="A81" s="14" t="str">
        <x:v>☐</x:v>
      </x:c>
      <x:c r="B81" s="12" t="n">
        <x:v>80</x:v>
      </x:c>
      <x:c r="C81" s="16" t="e">
        <x:f>HYPERLINK("https://pokecottage.com/pokemon-master-sets/slowbro","Slowbro")</x:f>
        <x:v>HYPERLINK is not implemented. linkLocation=https://pokecottage.com/pokemon-master-sets/slowbro, friendlyName=Slowbro</x:v>
      </x:c>
      <x:c r="D81" s="8" t="str">
        <x:v>Gen 1 • Kanto</x:v>
      </x:c>
      <x:c r="E81" s="8"/>
      <x:c r="F81" s="8"/>
    </x:row>
    <x:row r="82" ht="25" customHeight="1">
      <x:c r="A82" s="13" t="str">
        <x:v>☐</x:v>
      </x:c>
      <x:c r="B82" s="11" t="n">
        <x:v>81</x:v>
      </x:c>
      <x:c r="C82" s="15" t="e">
        <x:f>HYPERLINK("https://pokecottage.com/pokemon-master-sets/magnemite","Magnemite")</x:f>
        <x:v>HYPERLINK is not implemented. linkLocation=https://pokecottage.com/pokemon-master-sets/magnemite, friendlyName=Magnemite</x:v>
      </x:c>
      <x:c r="D82" s="7" t="str">
        <x:v>Gen 1 • Kanto</x:v>
      </x:c>
      <x:c r="E82" s="7"/>
      <x:c r="F82" s="7"/>
    </x:row>
    <x:row r="83" ht="25" customHeight="1">
      <x:c r="A83" s="14" t="str">
        <x:v>☐</x:v>
      </x:c>
      <x:c r="B83" s="12" t="n">
        <x:v>82</x:v>
      </x:c>
      <x:c r="C83" s="16" t="e">
        <x:f>HYPERLINK("https://pokecottage.com/pokemon-master-sets/magneton","Magneton")</x:f>
        <x:v>HYPERLINK is not implemented. linkLocation=https://pokecottage.com/pokemon-master-sets/magneton, friendlyName=Magneton</x:v>
      </x:c>
      <x:c r="D83" s="8" t="str">
        <x:v>Gen 1 • Kanto</x:v>
      </x:c>
      <x:c r="E83" s="8"/>
      <x:c r="F83" s="8"/>
    </x:row>
    <x:row r="84" ht="25" customHeight="1">
      <x:c r="A84" s="13" t="str">
        <x:v>☐</x:v>
      </x:c>
      <x:c r="B84" s="11" t="n">
        <x:v>83</x:v>
      </x:c>
      <x:c r="C84" s="15" t="e">
        <x:f>HYPERLINK("https://pokecottage.com/pokemon-master-sets/farfetchd","Farfetch'd")</x:f>
        <x:v>HYPERLINK is not implemented. linkLocation=https://pokecottage.com/pokemon-master-sets/farfetchd, friendlyName=Farfetch'd</x:v>
      </x:c>
      <x:c r="D84" s="7" t="str">
        <x:v>Gen 1 • Kanto</x:v>
      </x:c>
      <x:c r="E84" s="7"/>
      <x:c r="F84" s="7"/>
    </x:row>
    <x:row r="85" ht="25" customHeight="1">
      <x:c r="A85" s="14" t="str">
        <x:v>☐</x:v>
      </x:c>
      <x:c r="B85" s="12" t="n">
        <x:v>84</x:v>
      </x:c>
      <x:c r="C85" s="16" t="e">
        <x:f>HYPERLINK("https://pokecottage.com/pokemon-master-sets/doduo","Doduo")</x:f>
        <x:v>HYPERLINK is not implemented. linkLocation=https://pokecottage.com/pokemon-master-sets/doduo, friendlyName=Doduo</x:v>
      </x:c>
      <x:c r="D85" s="8" t="str">
        <x:v>Gen 1 • Kanto</x:v>
      </x:c>
      <x:c r="E85" s="8"/>
      <x:c r="F85" s="8"/>
    </x:row>
    <x:row r="86" ht="25" customHeight="1">
      <x:c r="A86" s="13" t="str">
        <x:v>☐</x:v>
      </x:c>
      <x:c r="B86" s="11" t="n">
        <x:v>85</x:v>
      </x:c>
      <x:c r="C86" s="15" t="e">
        <x:f>HYPERLINK("https://pokecottage.com/pokemon-master-sets/dodrio","Dodrio")</x:f>
        <x:v>HYPERLINK is not implemented. linkLocation=https://pokecottage.com/pokemon-master-sets/dodrio, friendlyName=Dodrio</x:v>
      </x:c>
      <x:c r="D86" s="7" t="str">
        <x:v>Gen 1 • Kanto</x:v>
      </x:c>
      <x:c r="E86" s="7"/>
      <x:c r="F86" s="7"/>
    </x:row>
    <x:row r="87" ht="25" customHeight="1">
      <x:c r="A87" s="14" t="str">
        <x:v>☐</x:v>
      </x:c>
      <x:c r="B87" s="12" t="n">
        <x:v>86</x:v>
      </x:c>
      <x:c r="C87" s="16" t="e">
        <x:f>HYPERLINK("https://pokecottage.com/pokemon-master-sets/seel","Seel")</x:f>
        <x:v>HYPERLINK is not implemented. linkLocation=https://pokecottage.com/pokemon-master-sets/seel, friendlyName=Seel</x:v>
      </x:c>
      <x:c r="D87" s="8" t="str">
        <x:v>Gen 1 • Kanto</x:v>
      </x:c>
      <x:c r="E87" s="8"/>
      <x:c r="F87" s="8"/>
    </x:row>
    <x:row r="88" ht="25" customHeight="1">
      <x:c r="A88" s="13" t="str">
        <x:v>☐</x:v>
      </x:c>
      <x:c r="B88" s="11" t="n">
        <x:v>87</x:v>
      </x:c>
      <x:c r="C88" s="15" t="e">
        <x:f>HYPERLINK("https://pokecottage.com/pokemon-master-sets/dewgong","Dewgong")</x:f>
        <x:v>HYPERLINK is not implemented. linkLocation=https://pokecottage.com/pokemon-master-sets/dewgong, friendlyName=Dewgong</x:v>
      </x:c>
      <x:c r="D88" s="7" t="str">
        <x:v>Gen 1 • Kanto</x:v>
      </x:c>
      <x:c r="E88" s="7"/>
      <x:c r="F88" s="7"/>
    </x:row>
    <x:row r="89" ht="25" customHeight="1">
      <x:c r="A89" s="14" t="str">
        <x:v>☐</x:v>
      </x:c>
      <x:c r="B89" s="12" t="n">
        <x:v>88</x:v>
      </x:c>
      <x:c r="C89" s="16" t="e">
        <x:f>HYPERLINK("https://pokecottage.com/pokemon-master-sets/grimer","Grimer")</x:f>
        <x:v>HYPERLINK is not implemented. linkLocation=https://pokecottage.com/pokemon-master-sets/grimer, friendlyName=Grimer</x:v>
      </x:c>
      <x:c r="D89" s="8" t="str">
        <x:v>Gen 1 • Kanto</x:v>
      </x:c>
      <x:c r="E89" s="8"/>
      <x:c r="F89" s="8"/>
    </x:row>
    <x:row r="90" ht="25" customHeight="1">
      <x:c r="A90" s="13" t="str">
        <x:v>☐</x:v>
      </x:c>
      <x:c r="B90" s="11" t="n">
        <x:v>89</x:v>
      </x:c>
      <x:c r="C90" s="15" t="e">
        <x:f>HYPERLINK("https://pokecottage.com/pokemon-master-sets/muk","Muk")</x:f>
        <x:v>HYPERLINK is not implemented. linkLocation=https://pokecottage.com/pokemon-master-sets/muk, friendlyName=Muk</x:v>
      </x:c>
      <x:c r="D90" s="7" t="str">
        <x:v>Gen 1 • Kanto</x:v>
      </x:c>
      <x:c r="E90" s="7"/>
      <x:c r="F90" s="7"/>
    </x:row>
    <x:row r="91" ht="25" customHeight="1">
      <x:c r="A91" s="14" t="str">
        <x:v>☐</x:v>
      </x:c>
      <x:c r="B91" s="12" t="n">
        <x:v>90</x:v>
      </x:c>
      <x:c r="C91" s="16" t="e">
        <x:f>HYPERLINK("https://pokecottage.com/pokemon-master-sets/shellder","Shellder")</x:f>
        <x:v>HYPERLINK is not implemented. linkLocation=https://pokecottage.com/pokemon-master-sets/shellder, friendlyName=Shellder</x:v>
      </x:c>
      <x:c r="D91" s="8" t="str">
        <x:v>Gen 1 • Kanto</x:v>
      </x:c>
      <x:c r="E91" s="8"/>
      <x:c r="F91" s="8"/>
    </x:row>
    <x:row r="92" ht="25" customHeight="1">
      <x:c r="A92" s="13" t="str">
        <x:v>☐</x:v>
      </x:c>
      <x:c r="B92" s="11" t="n">
        <x:v>91</x:v>
      </x:c>
      <x:c r="C92" s="15" t="e">
        <x:f>HYPERLINK("https://pokecottage.com/pokemon-master-sets/cloyster","Cloyster")</x:f>
        <x:v>HYPERLINK is not implemented. linkLocation=https://pokecottage.com/pokemon-master-sets/cloyster, friendlyName=Cloyster</x:v>
      </x:c>
      <x:c r="D92" s="7" t="str">
        <x:v>Gen 1 • Kanto</x:v>
      </x:c>
      <x:c r="E92" s="7"/>
      <x:c r="F92" s="7"/>
    </x:row>
    <x:row r="93" ht="25" customHeight="1">
      <x:c r="A93" s="14" t="str">
        <x:v>☐</x:v>
      </x:c>
      <x:c r="B93" s="12" t="n">
        <x:v>92</x:v>
      </x:c>
      <x:c r="C93" s="16" t="e">
        <x:f>HYPERLINK("https://pokecottage.com/pokemon-master-sets/gastly","Gastly")</x:f>
        <x:v>HYPERLINK is not implemented. linkLocation=https://pokecottage.com/pokemon-master-sets/gastly, friendlyName=Gastly</x:v>
      </x:c>
      <x:c r="D93" s="8" t="str">
        <x:v>Gen 1 • Kanto</x:v>
      </x:c>
      <x:c r="E93" s="8"/>
      <x:c r="F93" s="8"/>
    </x:row>
    <x:row r="94" ht="25" customHeight="1">
      <x:c r="A94" s="13" t="str">
        <x:v>☐</x:v>
      </x:c>
      <x:c r="B94" s="11" t="n">
        <x:v>93</x:v>
      </x:c>
      <x:c r="C94" s="15" t="e">
        <x:f>HYPERLINK("https://pokecottage.com/pokemon-master-sets/haunter","Haunter")</x:f>
        <x:v>HYPERLINK is not implemented. linkLocation=https://pokecottage.com/pokemon-master-sets/haunter, friendlyName=Haunter</x:v>
      </x:c>
      <x:c r="D94" s="7" t="str">
        <x:v>Gen 1 • Kanto</x:v>
      </x:c>
      <x:c r="E94" s="7"/>
      <x:c r="F94" s="7"/>
    </x:row>
    <x:row r="95" ht="25" customHeight="1">
      <x:c r="A95" s="14" t="str">
        <x:v>☐</x:v>
      </x:c>
      <x:c r="B95" s="12" t="n">
        <x:v>94</x:v>
      </x:c>
      <x:c r="C95" s="16" t="e">
        <x:f>HYPERLINK("https://pokecottage.com/pokemon-master-sets/gengar","Gengar")</x:f>
        <x:v>HYPERLINK is not implemented. linkLocation=https://pokecottage.com/pokemon-master-sets/gengar, friendlyName=Gengar</x:v>
      </x:c>
      <x:c r="D95" s="8" t="str">
        <x:v>Gen 1 • Kanto</x:v>
      </x:c>
      <x:c r="E95" s="8"/>
      <x:c r="F95" s="8"/>
    </x:row>
    <x:row r="96" ht="25" customHeight="1">
      <x:c r="A96" s="13" t="str">
        <x:v>☐</x:v>
      </x:c>
      <x:c r="B96" s="11" t="n">
        <x:v>95</x:v>
      </x:c>
      <x:c r="C96" s="15" t="e">
        <x:f>HYPERLINK("https://pokecottage.com/pokemon-master-sets/onix","Onix")</x:f>
        <x:v>HYPERLINK is not implemented. linkLocation=https://pokecottage.com/pokemon-master-sets/onix, friendlyName=Onix</x:v>
      </x:c>
      <x:c r="D96" s="7" t="str">
        <x:v>Gen 1 • Kanto</x:v>
      </x:c>
      <x:c r="E96" s="7"/>
      <x:c r="F96" s="7"/>
    </x:row>
    <x:row r="97" ht="25" customHeight="1">
      <x:c r="A97" s="14" t="str">
        <x:v>☐</x:v>
      </x:c>
      <x:c r="B97" s="12" t="n">
        <x:v>96</x:v>
      </x:c>
      <x:c r="C97" s="16" t="e">
        <x:f>HYPERLINK("https://pokecottage.com/pokemon-master-sets/drowzee","Drowzee")</x:f>
        <x:v>HYPERLINK is not implemented. linkLocation=https://pokecottage.com/pokemon-master-sets/drowzee, friendlyName=Drowzee</x:v>
      </x:c>
      <x:c r="D97" s="8" t="str">
        <x:v>Gen 1 • Kanto</x:v>
      </x:c>
      <x:c r="E97" s="8"/>
      <x:c r="F97" s="8"/>
    </x:row>
    <x:row r="98" ht="25" customHeight="1">
      <x:c r="A98" s="13" t="str">
        <x:v>☐</x:v>
      </x:c>
      <x:c r="B98" s="11" t="n">
        <x:v>97</x:v>
      </x:c>
      <x:c r="C98" s="15" t="e">
        <x:f>HYPERLINK("https://pokecottage.com/pokemon-master-sets/hypno","Hypno")</x:f>
        <x:v>HYPERLINK is not implemented. linkLocation=https://pokecottage.com/pokemon-master-sets/hypno, friendlyName=Hypno</x:v>
      </x:c>
      <x:c r="D98" s="7" t="str">
        <x:v>Gen 1 • Kanto</x:v>
      </x:c>
      <x:c r="E98" s="7"/>
      <x:c r="F98" s="7"/>
    </x:row>
    <x:row r="99" ht="25" customHeight="1">
      <x:c r="A99" s="14" t="str">
        <x:v>☐</x:v>
      </x:c>
      <x:c r="B99" s="12" t="n">
        <x:v>98</x:v>
      </x:c>
      <x:c r="C99" s="16" t="e">
        <x:f>HYPERLINK("https://pokecottage.com/pokemon-master-sets/krabby","Krabby")</x:f>
        <x:v>HYPERLINK is not implemented. linkLocation=https://pokecottage.com/pokemon-master-sets/krabby, friendlyName=Krabby</x:v>
      </x:c>
      <x:c r="D99" s="8" t="str">
        <x:v>Gen 1 • Kanto</x:v>
      </x:c>
      <x:c r="E99" s="8"/>
      <x:c r="F99" s="8"/>
    </x:row>
    <x:row r="100" ht="25" customHeight="1">
      <x:c r="A100" s="13" t="str">
        <x:v>☐</x:v>
      </x:c>
      <x:c r="B100" s="11" t="n">
        <x:v>99</x:v>
      </x:c>
      <x:c r="C100" s="15" t="e">
        <x:f>HYPERLINK("https://pokecottage.com/pokemon-master-sets/kingler","Kingler")</x:f>
        <x:v>HYPERLINK is not implemented. linkLocation=https://pokecottage.com/pokemon-master-sets/kingler, friendlyName=Kingler</x:v>
      </x:c>
      <x:c r="D100" s="7" t="str">
        <x:v>Gen 1 • Kanto</x:v>
      </x:c>
      <x:c r="E100" s="7"/>
      <x:c r="F100" s="7"/>
    </x:row>
    <x:row r="101" ht="25" customHeight="1">
      <x:c r="A101" s="14" t="str">
        <x:v>☐</x:v>
      </x:c>
      <x:c r="B101" s="12" t="n">
        <x:v>100</x:v>
      </x:c>
      <x:c r="C101" s="16" t="e">
        <x:f>HYPERLINK("https://pokecottage.com/pokemon-master-sets/voltorb","Voltorb")</x:f>
        <x:v>HYPERLINK is not implemented. linkLocation=https://pokecottage.com/pokemon-master-sets/voltorb, friendlyName=Voltorb</x:v>
      </x:c>
      <x:c r="D101" s="8" t="str">
        <x:v>Gen 1 • Kanto</x:v>
      </x:c>
      <x:c r="E101" s="8"/>
      <x:c r="F101" s="8"/>
    </x:row>
    <x:row r="102" ht="25" customHeight="1">
      <x:c r="A102" s="13" t="str">
        <x:v>☐</x:v>
      </x:c>
      <x:c r="B102" s="11" t="n">
        <x:v>101</x:v>
      </x:c>
      <x:c r="C102" s="15" t="e">
        <x:f>HYPERLINK("https://pokecottage.com/pokemon-master-sets/electrode","Electrode")</x:f>
        <x:v>HYPERLINK is not implemented. linkLocation=https://pokecottage.com/pokemon-master-sets/electrode, friendlyName=Electrode</x:v>
      </x:c>
      <x:c r="D102" s="7" t="str">
        <x:v>Gen 1 • Kanto</x:v>
      </x:c>
      <x:c r="E102" s="7"/>
      <x:c r="F102" s="7"/>
    </x:row>
    <x:row r="103" ht="25" customHeight="1">
      <x:c r="A103" s="14" t="str">
        <x:v>☐</x:v>
      </x:c>
      <x:c r="B103" s="12" t="n">
        <x:v>102</x:v>
      </x:c>
      <x:c r="C103" s="16" t="e">
        <x:f>HYPERLINK("https://pokecottage.com/pokemon-master-sets/exeggcute","Exeggcute")</x:f>
        <x:v>HYPERLINK is not implemented. linkLocation=https://pokecottage.com/pokemon-master-sets/exeggcute, friendlyName=Exeggcute</x:v>
      </x:c>
      <x:c r="D103" s="8" t="str">
        <x:v>Gen 1 • Kanto</x:v>
      </x:c>
      <x:c r="E103" s="8"/>
      <x:c r="F103" s="8"/>
    </x:row>
    <x:row r="104" ht="25" customHeight="1">
      <x:c r="A104" s="13" t="str">
        <x:v>☐</x:v>
      </x:c>
      <x:c r="B104" s="11" t="n">
        <x:v>103</x:v>
      </x:c>
      <x:c r="C104" s="15" t="e">
        <x:f>HYPERLINK("https://pokecottage.com/pokemon-master-sets/exeggutor","Exeggutor")</x:f>
        <x:v>HYPERLINK is not implemented. linkLocation=https://pokecottage.com/pokemon-master-sets/exeggutor, friendlyName=Exeggutor</x:v>
      </x:c>
      <x:c r="D104" s="7" t="str">
        <x:v>Gen 1 • Kanto</x:v>
      </x:c>
      <x:c r="E104" s="7"/>
      <x:c r="F104" s="7"/>
    </x:row>
    <x:row r="105" ht="25" customHeight="1">
      <x:c r="A105" s="14" t="str">
        <x:v>☐</x:v>
      </x:c>
      <x:c r="B105" s="12" t="n">
        <x:v>104</x:v>
      </x:c>
      <x:c r="C105" s="16" t="e">
        <x:f>HYPERLINK("https://pokecottage.com/pokemon-master-sets/cubone","Cubone")</x:f>
        <x:v>HYPERLINK is not implemented. linkLocation=https://pokecottage.com/pokemon-master-sets/cubone, friendlyName=Cubone</x:v>
      </x:c>
      <x:c r="D105" s="8" t="str">
        <x:v>Gen 1 • Kanto</x:v>
      </x:c>
      <x:c r="E105" s="8"/>
      <x:c r="F105" s="8"/>
    </x:row>
    <x:row r="106" ht="25" customHeight="1">
      <x:c r="A106" s="13" t="str">
        <x:v>☐</x:v>
      </x:c>
      <x:c r="B106" s="11" t="n">
        <x:v>105</x:v>
      </x:c>
      <x:c r="C106" s="15" t="e">
        <x:f>HYPERLINK("https://pokecottage.com/pokemon-master-sets/marowak","Marowak")</x:f>
        <x:v>HYPERLINK is not implemented. linkLocation=https://pokecottage.com/pokemon-master-sets/marowak, friendlyName=Marowak</x:v>
      </x:c>
      <x:c r="D106" s="7" t="str">
        <x:v>Gen 1 • Kanto</x:v>
      </x:c>
      <x:c r="E106" s="7"/>
      <x:c r="F106" s="7"/>
    </x:row>
    <x:row r="107" ht="25" customHeight="1">
      <x:c r="A107" s="14" t="str">
        <x:v>☐</x:v>
      </x:c>
      <x:c r="B107" s="12" t="n">
        <x:v>106</x:v>
      </x:c>
      <x:c r="C107" s="16" t="e">
        <x:f>HYPERLINK("https://pokecottage.com/pokemon-master-sets/hitmonlee","Hitmonlee")</x:f>
        <x:v>HYPERLINK is not implemented. linkLocation=https://pokecottage.com/pokemon-master-sets/hitmonlee, friendlyName=Hitmonlee</x:v>
      </x:c>
      <x:c r="D107" s="8" t="str">
        <x:v>Gen 1 • Kanto</x:v>
      </x:c>
      <x:c r="E107" s="8"/>
      <x:c r="F107" s="8"/>
    </x:row>
    <x:row r="108" ht="25" customHeight="1">
      <x:c r="A108" s="13" t="str">
        <x:v>☐</x:v>
      </x:c>
      <x:c r="B108" s="11" t="n">
        <x:v>107</x:v>
      </x:c>
      <x:c r="C108" s="15" t="e">
        <x:f>HYPERLINK("https://pokecottage.com/pokemon-master-sets/hitmonchan","Hitmonchan")</x:f>
        <x:v>HYPERLINK is not implemented. linkLocation=https://pokecottage.com/pokemon-master-sets/hitmonchan, friendlyName=Hitmonchan</x:v>
      </x:c>
      <x:c r="D108" s="7" t="str">
        <x:v>Gen 1 • Kanto</x:v>
      </x:c>
      <x:c r="E108" s="7"/>
      <x:c r="F108" s="7"/>
    </x:row>
    <x:row r="109" ht="25" customHeight="1">
      <x:c r="A109" s="14" t="str">
        <x:v>☐</x:v>
      </x:c>
      <x:c r="B109" s="12" t="n">
        <x:v>108</x:v>
      </x:c>
      <x:c r="C109" s="16" t="e">
        <x:f>HYPERLINK("https://pokecottage.com/pokemon-master-sets/lickitung","Lickitung")</x:f>
        <x:v>HYPERLINK is not implemented. linkLocation=https://pokecottage.com/pokemon-master-sets/lickitung, friendlyName=Lickitung</x:v>
      </x:c>
      <x:c r="D109" s="8" t="str">
        <x:v>Gen 1 • Kanto</x:v>
      </x:c>
      <x:c r="E109" s="8"/>
      <x:c r="F109" s="8"/>
    </x:row>
    <x:row r="110" ht="25" customHeight="1">
      <x:c r="A110" s="13" t="str">
        <x:v>☐</x:v>
      </x:c>
      <x:c r="B110" s="11" t="n">
        <x:v>109</x:v>
      </x:c>
      <x:c r="C110" s="15" t="e">
        <x:f>HYPERLINK("https://pokecottage.com/pokemon-master-sets/koffing","Koffing")</x:f>
        <x:v>HYPERLINK is not implemented. linkLocation=https://pokecottage.com/pokemon-master-sets/koffing, friendlyName=Koffing</x:v>
      </x:c>
      <x:c r="D110" s="7" t="str">
        <x:v>Gen 1 • Kanto</x:v>
      </x:c>
      <x:c r="E110" s="7"/>
      <x:c r="F110" s="7"/>
    </x:row>
    <x:row r="111" ht="25" customHeight="1">
      <x:c r="A111" s="14" t="str">
        <x:v>☐</x:v>
      </x:c>
      <x:c r="B111" s="12" t="n">
        <x:v>110</x:v>
      </x:c>
      <x:c r="C111" s="16" t="e">
        <x:f>HYPERLINK("https://pokecottage.com/pokemon-master-sets/weezing","Weezing")</x:f>
        <x:v>HYPERLINK is not implemented. linkLocation=https://pokecottage.com/pokemon-master-sets/weezing, friendlyName=Weezing</x:v>
      </x:c>
      <x:c r="D111" s="8" t="str">
        <x:v>Gen 1 • Kanto</x:v>
      </x:c>
      <x:c r="E111" s="8"/>
      <x:c r="F111" s="8"/>
    </x:row>
    <x:row r="112" ht="25" customHeight="1">
      <x:c r="A112" s="13" t="str">
        <x:v>☐</x:v>
      </x:c>
      <x:c r="B112" s="11" t="n">
        <x:v>111</x:v>
      </x:c>
      <x:c r="C112" s="15" t="e">
        <x:f>HYPERLINK("https://pokecottage.com/pokemon-master-sets/rhyhorn","Rhyhorn")</x:f>
        <x:v>HYPERLINK is not implemented. linkLocation=https://pokecottage.com/pokemon-master-sets/rhyhorn, friendlyName=Rhyhorn</x:v>
      </x:c>
      <x:c r="D112" s="7" t="str">
        <x:v>Gen 1 • Kanto</x:v>
      </x:c>
      <x:c r="E112" s="7"/>
      <x:c r="F112" s="7"/>
    </x:row>
    <x:row r="113" ht="25" customHeight="1">
      <x:c r="A113" s="14" t="str">
        <x:v>☐</x:v>
      </x:c>
      <x:c r="B113" s="12" t="n">
        <x:v>112</x:v>
      </x:c>
      <x:c r="C113" s="16" t="e">
        <x:f>HYPERLINK("https://pokecottage.com/pokemon-master-sets/rhydon","Rhydon")</x:f>
        <x:v>HYPERLINK is not implemented. linkLocation=https://pokecottage.com/pokemon-master-sets/rhydon, friendlyName=Rhydon</x:v>
      </x:c>
      <x:c r="D113" s="8" t="str">
        <x:v>Gen 1 • Kanto</x:v>
      </x:c>
      <x:c r="E113" s="8"/>
      <x:c r="F113" s="8"/>
    </x:row>
    <x:row r="114" ht="25" customHeight="1">
      <x:c r="A114" s="13" t="str">
        <x:v>☐</x:v>
      </x:c>
      <x:c r="B114" s="11" t="n">
        <x:v>113</x:v>
      </x:c>
      <x:c r="C114" s="15" t="e">
        <x:f>HYPERLINK("https://pokecottage.com/pokemon-master-sets/chansey","Chansey")</x:f>
        <x:v>HYPERLINK is not implemented. linkLocation=https://pokecottage.com/pokemon-master-sets/chansey, friendlyName=Chansey</x:v>
      </x:c>
      <x:c r="D114" s="7" t="str">
        <x:v>Gen 1 • Kanto</x:v>
      </x:c>
      <x:c r="E114" s="7"/>
      <x:c r="F114" s="7"/>
    </x:row>
    <x:row r="115" ht="25" customHeight="1">
      <x:c r="A115" s="14" t="str">
        <x:v>☐</x:v>
      </x:c>
      <x:c r="B115" s="12" t="n">
        <x:v>114</x:v>
      </x:c>
      <x:c r="C115" s="16" t="e">
        <x:f>HYPERLINK("https://pokecottage.com/pokemon-master-sets/tangela","Tangela")</x:f>
        <x:v>HYPERLINK is not implemented. linkLocation=https://pokecottage.com/pokemon-master-sets/tangela, friendlyName=Tangela</x:v>
      </x:c>
      <x:c r="D115" s="8" t="str">
        <x:v>Gen 1 • Kanto</x:v>
      </x:c>
      <x:c r="E115" s="8"/>
      <x:c r="F115" s="8"/>
    </x:row>
    <x:row r="116" ht="25" customHeight="1">
      <x:c r="A116" s="13" t="str">
        <x:v>☐</x:v>
      </x:c>
      <x:c r="B116" s="11" t="n">
        <x:v>115</x:v>
      </x:c>
      <x:c r="C116" s="15" t="e">
        <x:f>HYPERLINK("https://pokecottage.com/pokemon-master-sets/kangaskhan","Kangaskhan")</x:f>
        <x:v>HYPERLINK is not implemented. linkLocation=https://pokecottage.com/pokemon-master-sets/kangaskhan, friendlyName=Kangaskhan</x:v>
      </x:c>
      <x:c r="D116" s="7" t="str">
        <x:v>Gen 1 • Kanto</x:v>
      </x:c>
      <x:c r="E116" s="7"/>
      <x:c r="F116" s="7"/>
    </x:row>
    <x:row r="117" ht="25" customHeight="1">
      <x:c r="A117" s="14" t="str">
        <x:v>☐</x:v>
      </x:c>
      <x:c r="B117" s="12" t="n">
        <x:v>116</x:v>
      </x:c>
      <x:c r="C117" s="16" t="e">
        <x:f>HYPERLINK("https://pokecottage.com/pokemon-master-sets/horsea","Horsea")</x:f>
        <x:v>HYPERLINK is not implemented. linkLocation=https://pokecottage.com/pokemon-master-sets/horsea, friendlyName=Horsea</x:v>
      </x:c>
      <x:c r="D117" s="8" t="str">
        <x:v>Gen 1 • Kanto</x:v>
      </x:c>
      <x:c r="E117" s="8"/>
      <x:c r="F117" s="8"/>
    </x:row>
    <x:row r="118" ht="25" customHeight="1">
      <x:c r="A118" s="13" t="str">
        <x:v>☐</x:v>
      </x:c>
      <x:c r="B118" s="11" t="n">
        <x:v>117</x:v>
      </x:c>
      <x:c r="C118" s="15" t="e">
        <x:f>HYPERLINK("https://pokecottage.com/pokemon-master-sets/seadra","Seadra")</x:f>
        <x:v>HYPERLINK is not implemented. linkLocation=https://pokecottage.com/pokemon-master-sets/seadra, friendlyName=Seadra</x:v>
      </x:c>
      <x:c r="D118" s="7" t="str">
        <x:v>Gen 1 • Kanto</x:v>
      </x:c>
      <x:c r="E118" s="7"/>
      <x:c r="F118" s="7"/>
    </x:row>
    <x:row r="119" ht="25" customHeight="1">
      <x:c r="A119" s="14" t="str">
        <x:v>☐</x:v>
      </x:c>
      <x:c r="B119" s="12" t="n">
        <x:v>118</x:v>
      </x:c>
      <x:c r="C119" s="16" t="e">
        <x:f>HYPERLINK("https://pokecottage.com/pokemon-master-sets/goldeen","Goldeen")</x:f>
        <x:v>HYPERLINK is not implemented. linkLocation=https://pokecottage.com/pokemon-master-sets/goldeen, friendlyName=Goldeen</x:v>
      </x:c>
      <x:c r="D119" s="8" t="str">
        <x:v>Gen 1 • Kanto</x:v>
      </x:c>
      <x:c r="E119" s="8"/>
      <x:c r="F119" s="8"/>
    </x:row>
    <x:row r="120" ht="25" customHeight="1">
      <x:c r="A120" s="13" t="str">
        <x:v>☐</x:v>
      </x:c>
      <x:c r="B120" s="11" t="n">
        <x:v>119</x:v>
      </x:c>
      <x:c r="C120" s="15" t="e">
        <x:f>HYPERLINK("https://pokecottage.com/pokemon-master-sets/seaking","Seaking")</x:f>
        <x:v>HYPERLINK is not implemented. linkLocation=https://pokecottage.com/pokemon-master-sets/seaking, friendlyName=Seaking</x:v>
      </x:c>
      <x:c r="D120" s="7" t="str">
        <x:v>Gen 1 • Kanto</x:v>
      </x:c>
      <x:c r="E120" s="7"/>
      <x:c r="F120" s="7"/>
    </x:row>
    <x:row r="121" ht="25" customHeight="1">
      <x:c r="A121" s="14" t="str">
        <x:v>☐</x:v>
      </x:c>
      <x:c r="B121" s="12" t="n">
        <x:v>120</x:v>
      </x:c>
      <x:c r="C121" s="16" t="e">
        <x:f>HYPERLINK("https://pokecottage.com/pokemon-master-sets/staryu","Staryu")</x:f>
        <x:v>HYPERLINK is not implemented. linkLocation=https://pokecottage.com/pokemon-master-sets/staryu, friendlyName=Staryu</x:v>
      </x:c>
      <x:c r="D121" s="8" t="str">
        <x:v>Gen 1 • Kanto</x:v>
      </x:c>
      <x:c r="E121" s="8"/>
      <x:c r="F121" s="8"/>
    </x:row>
    <x:row r="122" ht="25" customHeight="1">
      <x:c r="A122" s="13" t="str">
        <x:v>☐</x:v>
      </x:c>
      <x:c r="B122" s="11" t="n">
        <x:v>121</x:v>
      </x:c>
      <x:c r="C122" s="15" t="e">
        <x:f>HYPERLINK("https://pokecottage.com/pokemon-master-sets/starmie","Starmie")</x:f>
        <x:v>HYPERLINK is not implemented. linkLocation=https://pokecottage.com/pokemon-master-sets/starmie, friendlyName=Starmie</x:v>
      </x:c>
      <x:c r="D122" s="7" t="str">
        <x:v>Gen 1 • Kanto</x:v>
      </x:c>
      <x:c r="E122" s="7"/>
      <x:c r="F122" s="7"/>
    </x:row>
    <x:row r="123" ht="25" customHeight="1">
      <x:c r="A123" s="14" t="str">
        <x:v>☐</x:v>
      </x:c>
      <x:c r="B123" s="12" t="n">
        <x:v>122</x:v>
      </x:c>
      <x:c r="C123" s="16" t="e">
        <x:f>HYPERLINK("https://pokecottage.com/pokemon-master-sets/mr-mime","Mr. Mime")</x:f>
        <x:v>HYPERLINK is not implemented. linkLocation=https://pokecottage.com/pokemon-master-sets/mr-mime, friendlyName=Mr. Mime</x:v>
      </x:c>
      <x:c r="D123" s="8" t="str">
        <x:v>Gen 1 • Kanto</x:v>
      </x:c>
      <x:c r="E123" s="8"/>
      <x:c r="F123" s="8"/>
    </x:row>
    <x:row r="124" ht="25" customHeight="1">
      <x:c r="A124" s="13" t="str">
        <x:v>☐</x:v>
      </x:c>
      <x:c r="B124" s="11" t="n">
        <x:v>123</x:v>
      </x:c>
      <x:c r="C124" s="15" t="e">
        <x:f>HYPERLINK("https://pokecottage.com/pokemon-master-sets/scyther","Scyther")</x:f>
        <x:v>HYPERLINK is not implemented. linkLocation=https://pokecottage.com/pokemon-master-sets/scyther, friendlyName=Scyther</x:v>
      </x:c>
      <x:c r="D124" s="7" t="str">
        <x:v>Gen 1 • Kanto</x:v>
      </x:c>
      <x:c r="E124" s="7"/>
      <x:c r="F124" s="7"/>
    </x:row>
    <x:row r="125" ht="25" customHeight="1">
      <x:c r="A125" s="14" t="str">
        <x:v>☐</x:v>
      </x:c>
      <x:c r="B125" s="12" t="n">
        <x:v>124</x:v>
      </x:c>
      <x:c r="C125" s="16" t="e">
        <x:f>HYPERLINK("https://pokecottage.com/pokemon-master-sets/jynx","Jynx")</x:f>
        <x:v>HYPERLINK is not implemented. linkLocation=https://pokecottage.com/pokemon-master-sets/jynx, friendlyName=Jynx</x:v>
      </x:c>
      <x:c r="D125" s="8" t="str">
        <x:v>Gen 1 • Kanto</x:v>
      </x:c>
      <x:c r="E125" s="8"/>
      <x:c r="F125" s="8"/>
    </x:row>
    <x:row r="126" ht="25" customHeight="1">
      <x:c r="A126" s="13" t="str">
        <x:v>☐</x:v>
      </x:c>
      <x:c r="B126" s="11" t="n">
        <x:v>125</x:v>
      </x:c>
      <x:c r="C126" s="15" t="e">
        <x:f>HYPERLINK("https://pokecottage.com/pokemon-master-sets/electabuzz","Electabuzz")</x:f>
        <x:v>HYPERLINK is not implemented. linkLocation=https://pokecottage.com/pokemon-master-sets/electabuzz, friendlyName=Electabuzz</x:v>
      </x:c>
      <x:c r="D126" s="7" t="str">
        <x:v>Gen 1 • Kanto</x:v>
      </x:c>
      <x:c r="E126" s="7"/>
      <x:c r="F126" s="7"/>
    </x:row>
    <x:row r="127" ht="25" customHeight="1">
      <x:c r="A127" s="14" t="str">
        <x:v>☐</x:v>
      </x:c>
      <x:c r="B127" s="12" t="n">
        <x:v>126</x:v>
      </x:c>
      <x:c r="C127" s="16" t="e">
        <x:f>HYPERLINK("https://pokecottage.com/pokemon-master-sets/magmar","Magmar")</x:f>
        <x:v>HYPERLINK is not implemented. linkLocation=https://pokecottage.com/pokemon-master-sets/magmar, friendlyName=Magmar</x:v>
      </x:c>
      <x:c r="D127" s="8" t="str">
        <x:v>Gen 1 • Kanto</x:v>
      </x:c>
      <x:c r="E127" s="8"/>
      <x:c r="F127" s="8"/>
    </x:row>
    <x:row r="128" ht="25" customHeight="1">
      <x:c r="A128" s="13" t="str">
        <x:v>☐</x:v>
      </x:c>
      <x:c r="B128" s="11" t="n">
        <x:v>127</x:v>
      </x:c>
      <x:c r="C128" s="15" t="e">
        <x:f>HYPERLINK("https://pokecottage.com/pokemon-master-sets/pinsir","Pinsir")</x:f>
        <x:v>HYPERLINK is not implemented. linkLocation=https://pokecottage.com/pokemon-master-sets/pinsir, friendlyName=Pinsir</x:v>
      </x:c>
      <x:c r="D128" s="7" t="str">
        <x:v>Gen 1 • Kanto</x:v>
      </x:c>
      <x:c r="E128" s="7"/>
      <x:c r="F128" s="7"/>
    </x:row>
    <x:row r="129" ht="25" customHeight="1">
      <x:c r="A129" s="14" t="str">
        <x:v>☐</x:v>
      </x:c>
      <x:c r="B129" s="12" t="n">
        <x:v>128</x:v>
      </x:c>
      <x:c r="C129" s="16" t="e">
        <x:f>HYPERLINK("https://pokecottage.com/pokemon-master-sets/tauros","Tauros")</x:f>
        <x:v>HYPERLINK is not implemented. linkLocation=https://pokecottage.com/pokemon-master-sets/tauros, friendlyName=Tauros</x:v>
      </x:c>
      <x:c r="D129" s="8" t="str">
        <x:v>Gen 1 • Kanto</x:v>
      </x:c>
      <x:c r="E129" s="8"/>
      <x:c r="F129" s="8"/>
    </x:row>
    <x:row r="130" ht="25" customHeight="1">
      <x:c r="A130" s="13" t="str">
        <x:v>☐</x:v>
      </x:c>
      <x:c r="B130" s="11" t="n">
        <x:v>129</x:v>
      </x:c>
      <x:c r="C130" s="15" t="e">
        <x:f>HYPERLINK("https://pokecottage.com/pokemon-master-sets/magikarp","Magikarp")</x:f>
        <x:v>HYPERLINK is not implemented. linkLocation=https://pokecottage.com/pokemon-master-sets/magikarp, friendlyName=Magikarp</x:v>
      </x:c>
      <x:c r="D130" s="7" t="str">
        <x:v>Gen 1 • Kanto</x:v>
      </x:c>
      <x:c r="E130" s="7"/>
      <x:c r="F130" s="7"/>
    </x:row>
    <x:row r="131" ht="25" customHeight="1">
      <x:c r="A131" s="14" t="str">
        <x:v>☐</x:v>
      </x:c>
      <x:c r="B131" s="12" t="n">
        <x:v>130</x:v>
      </x:c>
      <x:c r="C131" s="16" t="e">
        <x:f>HYPERLINK("https://pokecottage.com/pokemon-master-sets/gyarados","Gyarados")</x:f>
        <x:v>HYPERLINK is not implemented. linkLocation=https://pokecottage.com/pokemon-master-sets/gyarados, friendlyName=Gyarados</x:v>
      </x:c>
      <x:c r="D131" s="8" t="str">
        <x:v>Gen 1 • Kanto</x:v>
      </x:c>
      <x:c r="E131" s="8"/>
      <x:c r="F131" s="8"/>
    </x:row>
    <x:row r="132" ht="25" customHeight="1">
      <x:c r="A132" s="13" t="str">
        <x:v>☐</x:v>
      </x:c>
      <x:c r="B132" s="11" t="n">
        <x:v>131</x:v>
      </x:c>
      <x:c r="C132" s="15" t="e">
        <x:f>HYPERLINK("https://pokecottage.com/pokemon-master-sets/lapras","Lapras")</x:f>
        <x:v>HYPERLINK is not implemented. linkLocation=https://pokecottage.com/pokemon-master-sets/lapras, friendlyName=Lapras</x:v>
      </x:c>
      <x:c r="D132" s="7" t="str">
        <x:v>Gen 1 • Kanto</x:v>
      </x:c>
      <x:c r="E132" s="7"/>
      <x:c r="F132" s="7"/>
    </x:row>
    <x:row r="133" ht="25" customHeight="1">
      <x:c r="A133" s="14" t="str">
        <x:v>☐</x:v>
      </x:c>
      <x:c r="B133" s="12" t="n">
        <x:v>132</x:v>
      </x:c>
      <x:c r="C133" s="16" t="e">
        <x:f>HYPERLINK("https://pokecottage.com/pokemon-master-sets/ditto","Ditto")</x:f>
        <x:v>HYPERLINK is not implemented. linkLocation=https://pokecottage.com/pokemon-master-sets/ditto, friendlyName=Ditto</x:v>
      </x:c>
      <x:c r="D133" s="8" t="str">
        <x:v>Gen 1 • Kanto</x:v>
      </x:c>
      <x:c r="E133" s="8"/>
      <x:c r="F133" s="8"/>
    </x:row>
    <x:row r="134" ht="25" customHeight="1">
      <x:c r="A134" s="13" t="str">
        <x:v>☐</x:v>
      </x:c>
      <x:c r="B134" s="11" t="n">
        <x:v>133</x:v>
      </x:c>
      <x:c r="C134" s="15" t="e">
        <x:f>HYPERLINK("https://pokecottage.com/pokemon-master-sets/eevee","Eevee")</x:f>
        <x:v>HYPERLINK is not implemented. linkLocation=https://pokecottage.com/pokemon-master-sets/eevee, friendlyName=Eevee</x:v>
      </x:c>
      <x:c r="D134" s="7" t="str">
        <x:v>Gen 1 • Kanto</x:v>
      </x:c>
      <x:c r="E134" s="7"/>
      <x:c r="F134" s="7"/>
    </x:row>
    <x:row r="135" ht="25" customHeight="1">
      <x:c r="A135" s="14" t="str">
        <x:v>☐</x:v>
      </x:c>
      <x:c r="B135" s="12" t="n">
        <x:v>134</x:v>
      </x:c>
      <x:c r="C135" s="16" t="e">
        <x:f>HYPERLINK("https://pokecottage.com/pokemon-master-sets/vaporeon","Vaporeon")</x:f>
        <x:v>HYPERLINK is not implemented. linkLocation=https://pokecottage.com/pokemon-master-sets/vaporeon, friendlyName=Vaporeon</x:v>
      </x:c>
      <x:c r="D135" s="8" t="str">
        <x:v>Gen 1 • Kanto</x:v>
      </x:c>
      <x:c r="E135" s="8"/>
      <x:c r="F135" s="8"/>
    </x:row>
    <x:row r="136" ht="25" customHeight="1">
      <x:c r="A136" s="13" t="str">
        <x:v>☐</x:v>
      </x:c>
      <x:c r="B136" s="11" t="n">
        <x:v>135</x:v>
      </x:c>
      <x:c r="C136" s="15" t="e">
        <x:f>HYPERLINK("https://pokecottage.com/pokemon-master-sets/jolteon","Jolteon")</x:f>
        <x:v>HYPERLINK is not implemented. linkLocation=https://pokecottage.com/pokemon-master-sets/jolteon, friendlyName=Jolteon</x:v>
      </x:c>
      <x:c r="D136" s="7" t="str">
        <x:v>Gen 1 • Kanto</x:v>
      </x:c>
      <x:c r="E136" s="7"/>
      <x:c r="F136" s="7"/>
    </x:row>
    <x:row r="137" ht="25" customHeight="1">
      <x:c r="A137" s="14" t="str">
        <x:v>☐</x:v>
      </x:c>
      <x:c r="B137" s="12" t="n">
        <x:v>136</x:v>
      </x:c>
      <x:c r="C137" s="16" t="e">
        <x:f>HYPERLINK("https://pokecottage.com/pokemon-master-sets/flareon","Flareon")</x:f>
        <x:v>HYPERLINK is not implemented. linkLocation=https://pokecottage.com/pokemon-master-sets/flareon, friendlyName=Flareon</x:v>
      </x:c>
      <x:c r="D137" s="8" t="str">
        <x:v>Gen 1 • Kanto</x:v>
      </x:c>
      <x:c r="E137" s="8"/>
      <x:c r="F137" s="8"/>
    </x:row>
    <x:row r="138" ht="25" customHeight="1">
      <x:c r="A138" s="13" t="str">
        <x:v>☐</x:v>
      </x:c>
      <x:c r="B138" s="11" t="n">
        <x:v>137</x:v>
      </x:c>
      <x:c r="C138" s="15" t="e">
        <x:f>HYPERLINK("https://pokecottage.com/pokemon-master-sets/porygon","Porygon")</x:f>
        <x:v>HYPERLINK is not implemented. linkLocation=https://pokecottage.com/pokemon-master-sets/porygon, friendlyName=Porygon</x:v>
      </x:c>
      <x:c r="D138" s="7" t="str">
        <x:v>Gen 1 • Kanto</x:v>
      </x:c>
      <x:c r="E138" s="7"/>
      <x:c r="F138" s="7"/>
    </x:row>
    <x:row r="139" ht="25" customHeight="1">
      <x:c r="A139" s="14" t="str">
        <x:v>☐</x:v>
      </x:c>
      <x:c r="B139" s="12" t="n">
        <x:v>138</x:v>
      </x:c>
      <x:c r="C139" s="16" t="e">
        <x:f>HYPERLINK("https://pokecottage.com/pokemon-master-sets/omanyte","Omanyte")</x:f>
        <x:v>HYPERLINK is not implemented. linkLocation=https://pokecottage.com/pokemon-master-sets/omanyte, friendlyName=Omanyte</x:v>
      </x:c>
      <x:c r="D139" s="8" t="str">
        <x:v>Gen 1 • Kanto</x:v>
      </x:c>
      <x:c r="E139" s="8"/>
      <x:c r="F139" s="8"/>
    </x:row>
    <x:row r="140" ht="25" customHeight="1">
      <x:c r="A140" s="13" t="str">
        <x:v>☐</x:v>
      </x:c>
      <x:c r="B140" s="11" t="n">
        <x:v>139</x:v>
      </x:c>
      <x:c r="C140" s="15" t="e">
        <x:f>HYPERLINK("https://pokecottage.com/pokemon-master-sets/omastar","Omastar")</x:f>
        <x:v>HYPERLINK is not implemented. linkLocation=https://pokecottage.com/pokemon-master-sets/omastar, friendlyName=Omastar</x:v>
      </x:c>
      <x:c r="D140" s="7" t="str">
        <x:v>Gen 1 • Kanto</x:v>
      </x:c>
      <x:c r="E140" s="7"/>
      <x:c r="F140" s="7"/>
    </x:row>
    <x:row r="141" ht="25" customHeight="1">
      <x:c r="A141" s="14" t="str">
        <x:v>☐</x:v>
      </x:c>
      <x:c r="B141" s="12" t="n">
        <x:v>140</x:v>
      </x:c>
      <x:c r="C141" s="16" t="e">
        <x:f>HYPERLINK("https://pokecottage.com/pokemon-master-sets/kabuto","Kabuto")</x:f>
        <x:v>HYPERLINK is not implemented. linkLocation=https://pokecottage.com/pokemon-master-sets/kabuto, friendlyName=Kabuto</x:v>
      </x:c>
      <x:c r="D141" s="8" t="str">
        <x:v>Gen 1 • Kanto</x:v>
      </x:c>
      <x:c r="E141" s="8"/>
      <x:c r="F141" s="8"/>
    </x:row>
    <x:row r="142" ht="25" customHeight="1">
      <x:c r="A142" s="13" t="str">
        <x:v>☐</x:v>
      </x:c>
      <x:c r="B142" s="11" t="n">
        <x:v>141</x:v>
      </x:c>
      <x:c r="C142" s="15" t="e">
        <x:f>HYPERLINK("https://pokecottage.com/pokemon-master-sets/kabutops","Kabutops")</x:f>
        <x:v>HYPERLINK is not implemented. linkLocation=https://pokecottage.com/pokemon-master-sets/kabutops, friendlyName=Kabutops</x:v>
      </x:c>
      <x:c r="D142" s="7" t="str">
        <x:v>Gen 1 • Kanto</x:v>
      </x:c>
      <x:c r="E142" s="7"/>
      <x:c r="F142" s="7"/>
    </x:row>
    <x:row r="143" ht="25" customHeight="1">
      <x:c r="A143" s="14" t="str">
        <x:v>☐</x:v>
      </x:c>
      <x:c r="B143" s="12" t="n">
        <x:v>142</x:v>
      </x:c>
      <x:c r="C143" s="16" t="e">
        <x:f>HYPERLINK("https://pokecottage.com/pokemon-master-sets/aerodactyl","Aerodactyl")</x:f>
        <x:v>HYPERLINK is not implemented. linkLocation=https://pokecottage.com/pokemon-master-sets/aerodactyl, friendlyName=Aerodactyl</x:v>
      </x:c>
      <x:c r="D143" s="8" t="str">
        <x:v>Gen 1 • Kanto</x:v>
      </x:c>
      <x:c r="E143" s="8"/>
      <x:c r="F143" s="8"/>
    </x:row>
    <x:row r="144" ht="25" customHeight="1">
      <x:c r="A144" s="13" t="str">
        <x:v>☐</x:v>
      </x:c>
      <x:c r="B144" s="11" t="n">
        <x:v>143</x:v>
      </x:c>
      <x:c r="C144" s="15" t="e">
        <x:f>HYPERLINK("https://pokecottage.com/pokemon-master-sets/snorlax","Snorlax")</x:f>
        <x:v>HYPERLINK is not implemented. linkLocation=https://pokecottage.com/pokemon-master-sets/snorlax, friendlyName=Snorlax</x:v>
      </x:c>
      <x:c r="D144" s="7" t="str">
        <x:v>Gen 1 • Kanto</x:v>
      </x:c>
      <x:c r="E144" s="7"/>
      <x:c r="F144" s="7"/>
    </x:row>
    <x:row r="145" ht="25" customHeight="1">
      <x:c r="A145" s="14" t="str">
        <x:v>☐</x:v>
      </x:c>
      <x:c r="B145" s="12" t="n">
        <x:v>144</x:v>
      </x:c>
      <x:c r="C145" s="16" t="e">
        <x:f>HYPERLINK("https://pokecottage.com/pokemon-master-sets/articuno","Articuno")</x:f>
        <x:v>HYPERLINK is not implemented. linkLocation=https://pokecottage.com/pokemon-master-sets/articuno, friendlyName=Articuno</x:v>
      </x:c>
      <x:c r="D145" s="8" t="str">
        <x:v>Gen 1 • Kanto</x:v>
      </x:c>
      <x:c r="E145" s="8"/>
      <x:c r="F145" s="8"/>
    </x:row>
    <x:row r="146" ht="25" customHeight="1">
      <x:c r="A146" s="13" t="str">
        <x:v>☐</x:v>
      </x:c>
      <x:c r="B146" s="11" t="n">
        <x:v>145</x:v>
      </x:c>
      <x:c r="C146" s="15" t="e">
        <x:f>HYPERLINK("https://pokecottage.com/pokemon-master-sets/zapdos","Zapdos")</x:f>
        <x:v>HYPERLINK is not implemented. linkLocation=https://pokecottage.com/pokemon-master-sets/zapdos, friendlyName=Zapdos</x:v>
      </x:c>
      <x:c r="D146" s="7" t="str">
        <x:v>Gen 1 • Kanto</x:v>
      </x:c>
      <x:c r="E146" s="7"/>
      <x:c r="F146" s="7"/>
    </x:row>
    <x:row r="147" ht="25" customHeight="1">
      <x:c r="A147" s="14" t="str">
        <x:v>☐</x:v>
      </x:c>
      <x:c r="B147" s="12" t="n">
        <x:v>146</x:v>
      </x:c>
      <x:c r="C147" s="16" t="e">
        <x:f>HYPERLINK("https://pokecottage.com/pokemon-master-sets/moltres","Moltres")</x:f>
        <x:v>HYPERLINK is not implemented. linkLocation=https://pokecottage.com/pokemon-master-sets/moltres, friendlyName=Moltres</x:v>
      </x:c>
      <x:c r="D147" s="8" t="str">
        <x:v>Gen 1 • Kanto</x:v>
      </x:c>
      <x:c r="E147" s="8"/>
      <x:c r="F147" s="8"/>
    </x:row>
    <x:row r="148" ht="25" customHeight="1">
      <x:c r="A148" s="13" t="str">
        <x:v>☐</x:v>
      </x:c>
      <x:c r="B148" s="11" t="n">
        <x:v>147</x:v>
      </x:c>
      <x:c r="C148" s="15" t="e">
        <x:f>HYPERLINK("https://pokecottage.com/pokemon-master-sets/dratini","Dratini")</x:f>
        <x:v>HYPERLINK is not implemented. linkLocation=https://pokecottage.com/pokemon-master-sets/dratini, friendlyName=Dratini</x:v>
      </x:c>
      <x:c r="D148" s="7" t="str">
        <x:v>Gen 1 • Kanto</x:v>
      </x:c>
      <x:c r="E148" s="7"/>
      <x:c r="F148" s="7"/>
    </x:row>
    <x:row r="149" ht="25" customHeight="1">
      <x:c r="A149" s="14" t="str">
        <x:v>☐</x:v>
      </x:c>
      <x:c r="B149" s="12" t="n">
        <x:v>148</x:v>
      </x:c>
      <x:c r="C149" s="16" t="e">
        <x:f>HYPERLINK("https://pokecottage.com/pokemon-master-sets/dragonair","Dragonair")</x:f>
        <x:v>HYPERLINK is not implemented. linkLocation=https://pokecottage.com/pokemon-master-sets/dragonair, friendlyName=Dragonair</x:v>
      </x:c>
      <x:c r="D149" s="8" t="str">
        <x:v>Gen 1 • Kanto</x:v>
      </x:c>
      <x:c r="E149" s="8"/>
      <x:c r="F149" s="8"/>
    </x:row>
    <x:row r="150" ht="25" customHeight="1">
      <x:c r="A150" s="13" t="str">
        <x:v>☐</x:v>
      </x:c>
      <x:c r="B150" s="11" t="n">
        <x:v>149</x:v>
      </x:c>
      <x:c r="C150" s="15" t="e">
        <x:f>HYPERLINK("https://pokecottage.com/pokemon-master-sets/dragonite","Dragonite")</x:f>
        <x:v>HYPERLINK is not implemented. linkLocation=https://pokecottage.com/pokemon-master-sets/dragonite, friendlyName=Dragonite</x:v>
      </x:c>
      <x:c r="D150" s="7" t="str">
        <x:v>Gen 1 • Kanto</x:v>
      </x:c>
      <x:c r="E150" s="7"/>
      <x:c r="F150" s="7"/>
    </x:row>
    <x:row r="151" ht="25" customHeight="1">
      <x:c r="A151" s="14" t="str">
        <x:v>☐</x:v>
      </x:c>
      <x:c r="B151" s="12" t="n">
        <x:v>150</x:v>
      </x:c>
      <x:c r="C151" s="16" t="e">
        <x:f>HYPERLINK("https://pokecottage.com/pokemon-master-sets/mewtwo","Mewtwo")</x:f>
        <x:v>HYPERLINK is not implemented. linkLocation=https://pokecottage.com/pokemon-master-sets/mewtwo, friendlyName=Mewtwo</x:v>
      </x:c>
      <x:c r="D151" s="8" t="str">
        <x:v>Gen 1 • Kanto</x:v>
      </x:c>
      <x:c r="E151" s="8"/>
      <x:c r="F151" s="8"/>
    </x:row>
    <x:row r="152" ht="25" customHeight="1">
      <x:c r="A152" s="13" t="str">
        <x:v>☐</x:v>
      </x:c>
      <x:c r="B152" s="11" t="n">
        <x:v>151</x:v>
      </x:c>
      <x:c r="C152" s="15" t="e">
        <x:f>HYPERLINK("https://pokecottage.com/pokemon-master-sets/mew","Mew")</x:f>
        <x:v>HYPERLINK is not implemented. linkLocation=https://pokecottage.com/pokemon-master-sets/mew, friendlyName=Mew</x:v>
      </x:c>
      <x:c r="D152" s="7" t="str">
        <x:v>Gen 1 • Kanto</x:v>
      </x:c>
      <x:c r="E152" s="7"/>
      <x:c r="F152" s="7"/>
    </x:row>
    <x:row r="153" ht="25" customHeight="1">
      <x:c r="A153" s="14" t="str">
        <x:v>☐</x:v>
      </x:c>
      <x:c r="B153" s="12" t="n">
        <x:v>152</x:v>
      </x:c>
      <x:c r="C153" s="16" t="e">
        <x:f>HYPERLINK("https://pokecottage.com/pokemon-master-sets/chikorita","Chikorita")</x:f>
        <x:v>HYPERLINK is not implemented. linkLocation=https://pokecottage.com/pokemon-master-sets/chikorita, friendlyName=Chikorita</x:v>
      </x:c>
      <x:c r="D153" s="8" t="str">
        <x:v>Gen 2 • Johto</x:v>
      </x:c>
      <x:c r="E153" s="8"/>
      <x:c r="F153" s="8"/>
    </x:row>
    <x:row r="154" ht="25" customHeight="1">
      <x:c r="A154" s="13" t="str">
        <x:v>☐</x:v>
      </x:c>
      <x:c r="B154" s="11" t="n">
        <x:v>153</x:v>
      </x:c>
      <x:c r="C154" s="15" t="e">
        <x:f>HYPERLINK("https://pokecottage.com/pokemon-master-sets/bayleef","Bayleef")</x:f>
        <x:v>HYPERLINK is not implemented. linkLocation=https://pokecottage.com/pokemon-master-sets/bayleef, friendlyName=Bayleef</x:v>
      </x:c>
      <x:c r="D154" s="7" t="str">
        <x:v>Gen 2 • Johto</x:v>
      </x:c>
      <x:c r="E154" s="7"/>
      <x:c r="F154" s="7"/>
    </x:row>
    <x:row r="155" ht="25" customHeight="1">
      <x:c r="A155" s="14" t="str">
        <x:v>☐</x:v>
      </x:c>
      <x:c r="B155" s="12" t="n">
        <x:v>154</x:v>
      </x:c>
      <x:c r="C155" s="16" t="e">
        <x:f>HYPERLINK("https://pokecottage.com/pokemon-master-sets/meganium","Meganium")</x:f>
        <x:v>HYPERLINK is not implemented. linkLocation=https://pokecottage.com/pokemon-master-sets/meganium, friendlyName=Meganium</x:v>
      </x:c>
      <x:c r="D155" s="8" t="str">
        <x:v>Gen 2 • Johto</x:v>
      </x:c>
      <x:c r="E155" s="8"/>
      <x:c r="F155" s="8"/>
    </x:row>
    <x:row r="156" ht="25" customHeight="1">
      <x:c r="A156" s="13" t="str">
        <x:v>☐</x:v>
      </x:c>
      <x:c r="B156" s="11" t="n">
        <x:v>155</x:v>
      </x:c>
      <x:c r="C156" s="15" t="e">
        <x:f>HYPERLINK("https://pokecottage.com/pokemon-master-sets/cyndaquil","Cyndaquil")</x:f>
        <x:v>HYPERLINK is not implemented. linkLocation=https://pokecottage.com/pokemon-master-sets/cyndaquil, friendlyName=Cyndaquil</x:v>
      </x:c>
      <x:c r="D156" s="7" t="str">
        <x:v>Gen 2 • Johto</x:v>
      </x:c>
      <x:c r="E156" s="7"/>
      <x:c r="F156" s="7"/>
    </x:row>
    <x:row r="157" ht="25" customHeight="1">
      <x:c r="A157" s="14" t="str">
        <x:v>☐</x:v>
      </x:c>
      <x:c r="B157" s="12" t="n">
        <x:v>156</x:v>
      </x:c>
      <x:c r="C157" s="16" t="e">
        <x:f>HYPERLINK("https://pokecottage.com/pokemon-master-sets/quilava","Quilava")</x:f>
        <x:v>HYPERLINK is not implemented. linkLocation=https://pokecottage.com/pokemon-master-sets/quilava, friendlyName=Quilava</x:v>
      </x:c>
      <x:c r="D157" s="8" t="str">
        <x:v>Gen 2 • Johto</x:v>
      </x:c>
      <x:c r="E157" s="8"/>
      <x:c r="F157" s="8"/>
    </x:row>
    <x:row r="158" ht="25" customHeight="1">
      <x:c r="A158" s="13" t="str">
        <x:v>☐</x:v>
      </x:c>
      <x:c r="B158" s="11" t="n">
        <x:v>157</x:v>
      </x:c>
      <x:c r="C158" s="15" t="e">
        <x:f>HYPERLINK("https://pokecottage.com/pokemon-master-sets/typhlosion","Typhlosion")</x:f>
        <x:v>HYPERLINK is not implemented. linkLocation=https://pokecottage.com/pokemon-master-sets/typhlosion, friendlyName=Typhlosion</x:v>
      </x:c>
      <x:c r="D158" s="7" t="str">
        <x:v>Gen 2 • Johto</x:v>
      </x:c>
      <x:c r="E158" s="7"/>
      <x:c r="F158" s="7"/>
    </x:row>
    <x:row r="159" ht="25" customHeight="1">
      <x:c r="A159" s="14" t="str">
        <x:v>☐</x:v>
      </x:c>
      <x:c r="B159" s="12" t="n">
        <x:v>158</x:v>
      </x:c>
      <x:c r="C159" s="16" t="e">
        <x:f>HYPERLINK("https://pokecottage.com/pokemon-master-sets/totodile","Totodile")</x:f>
        <x:v>HYPERLINK is not implemented. linkLocation=https://pokecottage.com/pokemon-master-sets/totodile, friendlyName=Totodile</x:v>
      </x:c>
      <x:c r="D159" s="8" t="str">
        <x:v>Gen 2 • Johto</x:v>
      </x:c>
      <x:c r="E159" s="8"/>
      <x:c r="F159" s="8"/>
    </x:row>
    <x:row r="160" ht="25" customHeight="1">
      <x:c r="A160" s="13" t="str">
        <x:v>☐</x:v>
      </x:c>
      <x:c r="B160" s="11" t="n">
        <x:v>159</x:v>
      </x:c>
      <x:c r="C160" s="15" t="e">
        <x:f>HYPERLINK("https://pokecottage.com/pokemon-master-sets/croconaw","Croconaw")</x:f>
        <x:v>HYPERLINK is not implemented. linkLocation=https://pokecottage.com/pokemon-master-sets/croconaw, friendlyName=Croconaw</x:v>
      </x:c>
      <x:c r="D160" s="7" t="str">
        <x:v>Gen 2 • Johto</x:v>
      </x:c>
      <x:c r="E160" s="7"/>
      <x:c r="F160" s="7"/>
    </x:row>
    <x:row r="161" ht="25" customHeight="1">
      <x:c r="A161" s="14" t="str">
        <x:v>☐</x:v>
      </x:c>
      <x:c r="B161" s="12" t="n">
        <x:v>160</x:v>
      </x:c>
      <x:c r="C161" s="16" t="e">
        <x:f>HYPERLINK("https://pokecottage.com/pokemon-master-sets/feraligatr","Feraligatr")</x:f>
        <x:v>HYPERLINK is not implemented. linkLocation=https://pokecottage.com/pokemon-master-sets/feraligatr, friendlyName=Feraligatr</x:v>
      </x:c>
      <x:c r="D161" s="8" t="str">
        <x:v>Gen 2 • Johto</x:v>
      </x:c>
      <x:c r="E161" s="8"/>
      <x:c r="F161" s="8"/>
    </x:row>
    <x:row r="162" ht="25" customHeight="1">
      <x:c r="A162" s="13" t="str">
        <x:v>☐</x:v>
      </x:c>
      <x:c r="B162" s="11" t="n">
        <x:v>161</x:v>
      </x:c>
      <x:c r="C162" s="15" t="e">
        <x:f>HYPERLINK("https://pokecottage.com/pokemon-master-sets/sentret","Sentret")</x:f>
        <x:v>HYPERLINK is not implemented. linkLocation=https://pokecottage.com/pokemon-master-sets/sentret, friendlyName=Sentret</x:v>
      </x:c>
      <x:c r="D162" s="7" t="str">
        <x:v>Gen 2 • Johto</x:v>
      </x:c>
      <x:c r="E162" s="7"/>
      <x:c r="F162" s="7"/>
    </x:row>
    <x:row r="163" ht="25" customHeight="1">
      <x:c r="A163" s="14" t="str">
        <x:v>☐</x:v>
      </x:c>
      <x:c r="B163" s="12" t="n">
        <x:v>162</x:v>
      </x:c>
      <x:c r="C163" s="16" t="e">
        <x:f>HYPERLINK("https://pokecottage.com/pokemon-master-sets/furret","Furret")</x:f>
        <x:v>HYPERLINK is not implemented. linkLocation=https://pokecottage.com/pokemon-master-sets/furret, friendlyName=Furret</x:v>
      </x:c>
      <x:c r="D163" s="8" t="str">
        <x:v>Gen 2 • Johto</x:v>
      </x:c>
      <x:c r="E163" s="8"/>
      <x:c r="F163" s="8"/>
    </x:row>
    <x:row r="164" ht="25" customHeight="1">
      <x:c r="A164" s="13" t="str">
        <x:v>☐</x:v>
      </x:c>
      <x:c r="B164" s="11" t="n">
        <x:v>163</x:v>
      </x:c>
      <x:c r="C164" s="15" t="e">
        <x:f>HYPERLINK("https://pokecottage.com/pokemon-master-sets/hoothoot","Hoothoot")</x:f>
        <x:v>HYPERLINK is not implemented. linkLocation=https://pokecottage.com/pokemon-master-sets/hoothoot, friendlyName=Hoothoot</x:v>
      </x:c>
      <x:c r="D164" s="7" t="str">
        <x:v>Gen 2 • Johto</x:v>
      </x:c>
      <x:c r="E164" s="7"/>
      <x:c r="F164" s="7"/>
    </x:row>
    <x:row r="165" ht="25" customHeight="1">
      <x:c r="A165" s="14" t="str">
        <x:v>☐</x:v>
      </x:c>
      <x:c r="B165" s="12" t="n">
        <x:v>164</x:v>
      </x:c>
      <x:c r="C165" s="16" t="e">
        <x:f>HYPERLINK("https://pokecottage.com/pokemon-master-sets/noctowl","Noctowl")</x:f>
        <x:v>HYPERLINK is not implemented. linkLocation=https://pokecottage.com/pokemon-master-sets/noctowl, friendlyName=Noctowl</x:v>
      </x:c>
      <x:c r="D165" s="8" t="str">
        <x:v>Gen 2 • Johto</x:v>
      </x:c>
      <x:c r="E165" s="8"/>
      <x:c r="F165" s="8"/>
    </x:row>
    <x:row r="166" ht="25" customHeight="1">
      <x:c r="A166" s="13" t="str">
        <x:v>☐</x:v>
      </x:c>
      <x:c r="B166" s="11" t="n">
        <x:v>165</x:v>
      </x:c>
      <x:c r="C166" s="15" t="e">
        <x:f>HYPERLINK("https://pokecottage.com/pokemon-master-sets/ledyba","Ledyba")</x:f>
        <x:v>HYPERLINK is not implemented. linkLocation=https://pokecottage.com/pokemon-master-sets/ledyba, friendlyName=Ledyba</x:v>
      </x:c>
      <x:c r="D166" s="7" t="str">
        <x:v>Gen 2 • Johto</x:v>
      </x:c>
      <x:c r="E166" s="7"/>
      <x:c r="F166" s="7"/>
    </x:row>
    <x:row r="167" ht="25" customHeight="1">
      <x:c r="A167" s="14" t="str">
        <x:v>☐</x:v>
      </x:c>
      <x:c r="B167" s="12" t="n">
        <x:v>166</x:v>
      </x:c>
      <x:c r="C167" s="16" t="e">
        <x:f>HYPERLINK("https://pokecottage.com/pokemon-master-sets/ledian","Ledian")</x:f>
        <x:v>HYPERLINK is not implemented. linkLocation=https://pokecottage.com/pokemon-master-sets/ledian, friendlyName=Ledian</x:v>
      </x:c>
      <x:c r="D167" s="8" t="str">
        <x:v>Gen 2 • Johto</x:v>
      </x:c>
      <x:c r="E167" s="8"/>
      <x:c r="F167" s="8"/>
    </x:row>
    <x:row r="168" ht="25" customHeight="1">
      <x:c r="A168" s="13" t="str">
        <x:v>☐</x:v>
      </x:c>
      <x:c r="B168" s="11" t="n">
        <x:v>167</x:v>
      </x:c>
      <x:c r="C168" s="15" t="e">
        <x:f>HYPERLINK("https://pokecottage.com/pokemon-master-sets/spinarak","Spinarak")</x:f>
        <x:v>HYPERLINK is not implemented. linkLocation=https://pokecottage.com/pokemon-master-sets/spinarak, friendlyName=Spinarak</x:v>
      </x:c>
      <x:c r="D168" s="7" t="str">
        <x:v>Gen 2 • Johto</x:v>
      </x:c>
      <x:c r="E168" s="7"/>
      <x:c r="F168" s="7"/>
    </x:row>
    <x:row r="169" ht="25" customHeight="1">
      <x:c r="A169" s="14" t="str">
        <x:v>☐</x:v>
      </x:c>
      <x:c r="B169" s="12" t="n">
        <x:v>168</x:v>
      </x:c>
      <x:c r="C169" s="16" t="e">
        <x:f>HYPERLINK("https://pokecottage.com/pokemon-master-sets/ariados","Ariados")</x:f>
        <x:v>HYPERLINK is not implemented. linkLocation=https://pokecottage.com/pokemon-master-sets/ariados, friendlyName=Ariados</x:v>
      </x:c>
      <x:c r="D169" s="8" t="str">
        <x:v>Gen 2 • Johto</x:v>
      </x:c>
      <x:c r="E169" s="8"/>
      <x:c r="F169" s="8"/>
    </x:row>
    <x:row r="170" ht="25" customHeight="1">
      <x:c r="A170" s="13" t="str">
        <x:v>☐</x:v>
      </x:c>
      <x:c r="B170" s="11" t="n">
        <x:v>169</x:v>
      </x:c>
      <x:c r="C170" s="15" t="e">
        <x:f>HYPERLINK("https://pokecottage.com/pokemon-master-sets/crobat","Crobat")</x:f>
        <x:v>HYPERLINK is not implemented. linkLocation=https://pokecottage.com/pokemon-master-sets/crobat, friendlyName=Crobat</x:v>
      </x:c>
      <x:c r="D170" s="7" t="str">
        <x:v>Gen 2 • Johto</x:v>
      </x:c>
      <x:c r="E170" s="7"/>
      <x:c r="F170" s="7"/>
    </x:row>
    <x:row r="171" ht="25" customHeight="1">
      <x:c r="A171" s="14" t="str">
        <x:v>☐</x:v>
      </x:c>
      <x:c r="B171" s="12" t="n">
        <x:v>170</x:v>
      </x:c>
      <x:c r="C171" s="16" t="e">
        <x:f>HYPERLINK("https://pokecottage.com/pokemon-master-sets/chinchou","Chinchou")</x:f>
        <x:v>HYPERLINK is not implemented. linkLocation=https://pokecottage.com/pokemon-master-sets/chinchou, friendlyName=Chinchou</x:v>
      </x:c>
      <x:c r="D171" s="8" t="str">
        <x:v>Gen 2 • Johto</x:v>
      </x:c>
      <x:c r="E171" s="8"/>
      <x:c r="F171" s="8"/>
    </x:row>
    <x:row r="172" ht="25" customHeight="1">
      <x:c r="A172" s="13" t="str">
        <x:v>☐</x:v>
      </x:c>
      <x:c r="B172" s="11" t="n">
        <x:v>171</x:v>
      </x:c>
      <x:c r="C172" s="15" t="e">
        <x:f>HYPERLINK("https://pokecottage.com/pokemon-master-sets/lanturn","Lanturn")</x:f>
        <x:v>HYPERLINK is not implemented. linkLocation=https://pokecottage.com/pokemon-master-sets/lanturn, friendlyName=Lanturn</x:v>
      </x:c>
      <x:c r="D172" s="7" t="str">
        <x:v>Gen 2 • Johto</x:v>
      </x:c>
      <x:c r="E172" s="7"/>
      <x:c r="F172" s="7"/>
    </x:row>
    <x:row r="173" ht="25" customHeight="1">
      <x:c r="A173" s="14" t="str">
        <x:v>☐</x:v>
      </x:c>
      <x:c r="B173" s="12" t="n">
        <x:v>172</x:v>
      </x:c>
      <x:c r="C173" s="16" t="e">
        <x:f>HYPERLINK("https://pokecottage.com/pokemon-master-sets/pichu","Pichu")</x:f>
        <x:v>HYPERLINK is not implemented. linkLocation=https://pokecottage.com/pokemon-master-sets/pichu, friendlyName=Pichu</x:v>
      </x:c>
      <x:c r="D173" s="8" t="str">
        <x:v>Gen 2 • Johto</x:v>
      </x:c>
      <x:c r="E173" s="8"/>
      <x:c r="F173" s="8"/>
    </x:row>
    <x:row r="174" ht="25" customHeight="1">
      <x:c r="A174" s="13" t="str">
        <x:v>☐</x:v>
      </x:c>
      <x:c r="B174" s="11" t="n">
        <x:v>173</x:v>
      </x:c>
      <x:c r="C174" s="15" t="e">
        <x:f>HYPERLINK("https://pokecottage.com/pokemon-master-sets/cleffa","Cleffa")</x:f>
        <x:v>HYPERLINK is not implemented. linkLocation=https://pokecottage.com/pokemon-master-sets/cleffa, friendlyName=Cleffa</x:v>
      </x:c>
      <x:c r="D174" s="7" t="str">
        <x:v>Gen 2 • Johto</x:v>
      </x:c>
      <x:c r="E174" s="7"/>
      <x:c r="F174" s="7"/>
    </x:row>
    <x:row r="175" ht="25" customHeight="1">
      <x:c r="A175" s="14" t="str">
        <x:v>☐</x:v>
      </x:c>
      <x:c r="B175" s="12" t="n">
        <x:v>174</x:v>
      </x:c>
      <x:c r="C175" s="16" t="e">
        <x:f>HYPERLINK("https://pokecottage.com/pokemon-master-sets/igglybuff","Igglybuff")</x:f>
        <x:v>HYPERLINK is not implemented. linkLocation=https://pokecottage.com/pokemon-master-sets/igglybuff, friendlyName=Igglybuff</x:v>
      </x:c>
      <x:c r="D175" s="8" t="str">
        <x:v>Gen 2 • Johto</x:v>
      </x:c>
      <x:c r="E175" s="8"/>
      <x:c r="F175" s="8"/>
    </x:row>
    <x:row r="176" ht="25" customHeight="1">
      <x:c r="A176" s="13" t="str">
        <x:v>☐</x:v>
      </x:c>
      <x:c r="B176" s="11" t="n">
        <x:v>175</x:v>
      </x:c>
      <x:c r="C176" s="15" t="e">
        <x:f>HYPERLINK("https://pokecottage.com/pokemon-master-sets/togepi","Togepi")</x:f>
        <x:v>HYPERLINK is not implemented. linkLocation=https://pokecottage.com/pokemon-master-sets/togepi, friendlyName=Togepi</x:v>
      </x:c>
      <x:c r="D176" s="7" t="str">
        <x:v>Gen 2 • Johto</x:v>
      </x:c>
      <x:c r="E176" s="7"/>
      <x:c r="F176" s="7"/>
    </x:row>
    <x:row r="177" ht="25" customHeight="1">
      <x:c r="A177" s="14" t="str">
        <x:v>☐</x:v>
      </x:c>
      <x:c r="B177" s="12" t="n">
        <x:v>176</x:v>
      </x:c>
      <x:c r="C177" s="16" t="e">
        <x:f>HYPERLINK("https://pokecottage.com/pokemon-master-sets/togetic","Togetic")</x:f>
        <x:v>HYPERLINK is not implemented. linkLocation=https://pokecottage.com/pokemon-master-sets/togetic, friendlyName=Togetic</x:v>
      </x:c>
      <x:c r="D177" s="8" t="str">
        <x:v>Gen 2 • Johto</x:v>
      </x:c>
      <x:c r="E177" s="8"/>
      <x:c r="F177" s="8"/>
    </x:row>
    <x:row r="178" ht="25" customHeight="1">
      <x:c r="A178" s="13" t="str">
        <x:v>☐</x:v>
      </x:c>
      <x:c r="B178" s="11" t="n">
        <x:v>177</x:v>
      </x:c>
      <x:c r="C178" s="15" t="e">
        <x:f>HYPERLINK("https://pokecottage.com/pokemon-master-sets/natu","Natu")</x:f>
        <x:v>HYPERLINK is not implemented. linkLocation=https://pokecottage.com/pokemon-master-sets/natu, friendlyName=Natu</x:v>
      </x:c>
      <x:c r="D178" s="7" t="str">
        <x:v>Gen 2 • Johto</x:v>
      </x:c>
      <x:c r="E178" s="7"/>
      <x:c r="F178" s="7"/>
    </x:row>
    <x:row r="179" ht="25" customHeight="1">
      <x:c r="A179" s="14" t="str">
        <x:v>☐</x:v>
      </x:c>
      <x:c r="B179" s="12" t="n">
        <x:v>178</x:v>
      </x:c>
      <x:c r="C179" s="16" t="e">
        <x:f>HYPERLINK("https://pokecottage.com/pokemon-master-sets/xatu","Xatu")</x:f>
        <x:v>HYPERLINK is not implemented. linkLocation=https://pokecottage.com/pokemon-master-sets/xatu, friendlyName=Xatu</x:v>
      </x:c>
      <x:c r="D179" s="8" t="str">
        <x:v>Gen 2 • Johto</x:v>
      </x:c>
      <x:c r="E179" s="8"/>
      <x:c r="F179" s="8"/>
    </x:row>
    <x:row r="180" ht="25" customHeight="1">
      <x:c r="A180" s="13" t="str">
        <x:v>☐</x:v>
      </x:c>
      <x:c r="B180" s="11" t="n">
        <x:v>179</x:v>
      </x:c>
      <x:c r="C180" s="15" t="e">
        <x:f>HYPERLINK("https://pokecottage.com/pokemon-master-sets/mareep","Mareep")</x:f>
        <x:v>HYPERLINK is not implemented. linkLocation=https://pokecottage.com/pokemon-master-sets/mareep, friendlyName=Mareep</x:v>
      </x:c>
      <x:c r="D180" s="7" t="str">
        <x:v>Gen 2 • Johto</x:v>
      </x:c>
      <x:c r="E180" s="7"/>
      <x:c r="F180" s="7"/>
    </x:row>
    <x:row r="181" ht="25" customHeight="1">
      <x:c r="A181" s="14" t="str">
        <x:v>☐</x:v>
      </x:c>
      <x:c r="B181" s="12" t="n">
        <x:v>180</x:v>
      </x:c>
      <x:c r="C181" s="16" t="e">
        <x:f>HYPERLINK("https://pokecottage.com/pokemon-master-sets/flaaffy","Flaaffy")</x:f>
        <x:v>HYPERLINK is not implemented. linkLocation=https://pokecottage.com/pokemon-master-sets/flaaffy, friendlyName=Flaaffy</x:v>
      </x:c>
      <x:c r="D181" s="8" t="str">
        <x:v>Gen 2 • Johto</x:v>
      </x:c>
      <x:c r="E181" s="8"/>
      <x:c r="F181" s="8"/>
    </x:row>
    <x:row r="182" ht="25" customHeight="1">
      <x:c r="A182" s="13" t="str">
        <x:v>☐</x:v>
      </x:c>
      <x:c r="B182" s="11" t="n">
        <x:v>181</x:v>
      </x:c>
      <x:c r="C182" s="15" t="e">
        <x:f>HYPERLINK("https://pokecottage.com/pokemon-master-sets/ampharos","Ampharos")</x:f>
        <x:v>HYPERLINK is not implemented. linkLocation=https://pokecottage.com/pokemon-master-sets/ampharos, friendlyName=Ampharos</x:v>
      </x:c>
      <x:c r="D182" s="7" t="str">
        <x:v>Gen 2 • Johto</x:v>
      </x:c>
      <x:c r="E182" s="7"/>
      <x:c r="F182" s="7"/>
    </x:row>
    <x:row r="183" ht="25" customHeight="1">
      <x:c r="A183" s="14" t="str">
        <x:v>☐</x:v>
      </x:c>
      <x:c r="B183" s="12" t="n">
        <x:v>182</x:v>
      </x:c>
      <x:c r="C183" s="16" t="e">
        <x:f>HYPERLINK("https://pokecottage.com/pokemon-master-sets/bellossom","Bellossom")</x:f>
        <x:v>HYPERLINK is not implemented. linkLocation=https://pokecottage.com/pokemon-master-sets/bellossom, friendlyName=Bellossom</x:v>
      </x:c>
      <x:c r="D183" s="8" t="str">
        <x:v>Gen 2 • Johto</x:v>
      </x:c>
      <x:c r="E183" s="8"/>
      <x:c r="F183" s="8"/>
    </x:row>
    <x:row r="184" ht="25" customHeight="1">
      <x:c r="A184" s="13" t="str">
        <x:v>☐</x:v>
      </x:c>
      <x:c r="B184" s="11" t="n">
        <x:v>183</x:v>
      </x:c>
      <x:c r="C184" s="15" t="e">
        <x:f>HYPERLINK("https://pokecottage.com/pokemon-master-sets/marill","Marill")</x:f>
        <x:v>HYPERLINK is not implemented. linkLocation=https://pokecottage.com/pokemon-master-sets/marill, friendlyName=Marill</x:v>
      </x:c>
      <x:c r="D184" s="7" t="str">
        <x:v>Gen 2 • Johto</x:v>
      </x:c>
      <x:c r="E184" s="7"/>
      <x:c r="F184" s="7"/>
    </x:row>
    <x:row r="185" ht="25" customHeight="1">
      <x:c r="A185" s="14" t="str">
        <x:v>☐</x:v>
      </x:c>
      <x:c r="B185" s="12" t="n">
        <x:v>184</x:v>
      </x:c>
      <x:c r="C185" s="16" t="e">
        <x:f>HYPERLINK("https://pokecottage.com/pokemon-master-sets/azumarill","Azumarill")</x:f>
        <x:v>HYPERLINK is not implemented. linkLocation=https://pokecottage.com/pokemon-master-sets/azumarill, friendlyName=Azumarill</x:v>
      </x:c>
      <x:c r="D185" s="8" t="str">
        <x:v>Gen 2 • Johto</x:v>
      </x:c>
      <x:c r="E185" s="8"/>
      <x:c r="F185" s="8"/>
    </x:row>
    <x:row r="186" ht="25" customHeight="1">
      <x:c r="A186" s="13" t="str">
        <x:v>☐</x:v>
      </x:c>
      <x:c r="B186" s="11" t="n">
        <x:v>185</x:v>
      </x:c>
      <x:c r="C186" s="15" t="e">
        <x:f>HYPERLINK("https://pokecottage.com/pokemon-master-sets/sudowoodo","Sudowoodo")</x:f>
        <x:v>HYPERLINK is not implemented. linkLocation=https://pokecottage.com/pokemon-master-sets/sudowoodo, friendlyName=Sudowoodo</x:v>
      </x:c>
      <x:c r="D186" s="7" t="str">
        <x:v>Gen 2 • Johto</x:v>
      </x:c>
      <x:c r="E186" s="7"/>
      <x:c r="F186" s="7"/>
    </x:row>
    <x:row r="187" ht="25" customHeight="1">
      <x:c r="A187" s="14" t="str">
        <x:v>☐</x:v>
      </x:c>
      <x:c r="B187" s="12" t="n">
        <x:v>186</x:v>
      </x:c>
      <x:c r="C187" s="16" t="e">
        <x:f>HYPERLINK("https://pokecottage.com/pokemon-master-sets/politoed","Politoed")</x:f>
        <x:v>HYPERLINK is not implemented. linkLocation=https://pokecottage.com/pokemon-master-sets/politoed, friendlyName=Politoed</x:v>
      </x:c>
      <x:c r="D187" s="8" t="str">
        <x:v>Gen 2 • Johto</x:v>
      </x:c>
      <x:c r="E187" s="8"/>
      <x:c r="F187" s="8"/>
    </x:row>
    <x:row r="188" ht="25" customHeight="1">
      <x:c r="A188" s="13" t="str">
        <x:v>☐</x:v>
      </x:c>
      <x:c r="B188" s="11" t="n">
        <x:v>187</x:v>
      </x:c>
      <x:c r="C188" s="15" t="e">
        <x:f>HYPERLINK("https://pokecottage.com/pokemon-master-sets/hoppip","Hoppip")</x:f>
        <x:v>HYPERLINK is not implemented. linkLocation=https://pokecottage.com/pokemon-master-sets/hoppip, friendlyName=Hoppip</x:v>
      </x:c>
      <x:c r="D188" s="7" t="str">
        <x:v>Gen 2 • Johto</x:v>
      </x:c>
      <x:c r="E188" s="7"/>
      <x:c r="F188" s="7"/>
    </x:row>
    <x:row r="189" ht="25" customHeight="1">
      <x:c r="A189" s="14" t="str">
        <x:v>☐</x:v>
      </x:c>
      <x:c r="B189" s="12" t="n">
        <x:v>188</x:v>
      </x:c>
      <x:c r="C189" s="16" t="e">
        <x:f>HYPERLINK("https://pokecottage.com/pokemon-master-sets/skiploom","Skiploom")</x:f>
        <x:v>HYPERLINK is not implemented. linkLocation=https://pokecottage.com/pokemon-master-sets/skiploom, friendlyName=Skiploom</x:v>
      </x:c>
      <x:c r="D189" s="8" t="str">
        <x:v>Gen 2 • Johto</x:v>
      </x:c>
      <x:c r="E189" s="8"/>
      <x:c r="F189" s="8"/>
    </x:row>
    <x:row r="190" ht="25" customHeight="1">
      <x:c r="A190" s="13" t="str">
        <x:v>☐</x:v>
      </x:c>
      <x:c r="B190" s="11" t="n">
        <x:v>189</x:v>
      </x:c>
      <x:c r="C190" s="15" t="e">
        <x:f>HYPERLINK("https://pokecottage.com/pokemon-master-sets/jumpluff","Jumpluff")</x:f>
        <x:v>HYPERLINK is not implemented. linkLocation=https://pokecottage.com/pokemon-master-sets/jumpluff, friendlyName=Jumpluff</x:v>
      </x:c>
      <x:c r="D190" s="7" t="str">
        <x:v>Gen 2 • Johto</x:v>
      </x:c>
      <x:c r="E190" s="7"/>
      <x:c r="F190" s="7"/>
    </x:row>
    <x:row r="191" ht="25" customHeight="1">
      <x:c r="A191" s="14" t="str">
        <x:v>☐</x:v>
      </x:c>
      <x:c r="B191" s="12" t="n">
        <x:v>190</x:v>
      </x:c>
      <x:c r="C191" s="16" t="e">
        <x:f>HYPERLINK("https://pokecottage.com/pokemon-master-sets/aipom","Aipom")</x:f>
        <x:v>HYPERLINK is not implemented. linkLocation=https://pokecottage.com/pokemon-master-sets/aipom, friendlyName=Aipom</x:v>
      </x:c>
      <x:c r="D191" s="8" t="str">
        <x:v>Gen 2 • Johto</x:v>
      </x:c>
      <x:c r="E191" s="8"/>
      <x:c r="F191" s="8"/>
    </x:row>
    <x:row r="192" ht="25" customHeight="1">
      <x:c r="A192" s="13" t="str">
        <x:v>☐</x:v>
      </x:c>
      <x:c r="B192" s="11" t="n">
        <x:v>191</x:v>
      </x:c>
      <x:c r="C192" s="15" t="e">
        <x:f>HYPERLINK("https://pokecottage.com/pokemon-master-sets/sunkern","Sunkern")</x:f>
        <x:v>HYPERLINK is not implemented. linkLocation=https://pokecottage.com/pokemon-master-sets/sunkern, friendlyName=Sunkern</x:v>
      </x:c>
      <x:c r="D192" s="7" t="str">
        <x:v>Gen 2 • Johto</x:v>
      </x:c>
      <x:c r="E192" s="7"/>
      <x:c r="F192" s="7"/>
    </x:row>
    <x:row r="193" ht="25" customHeight="1">
      <x:c r="A193" s="14" t="str">
        <x:v>☐</x:v>
      </x:c>
      <x:c r="B193" s="12" t="n">
        <x:v>192</x:v>
      </x:c>
      <x:c r="C193" s="16" t="e">
        <x:f>HYPERLINK("https://pokecottage.com/pokemon-master-sets/sunflora","Sunflora")</x:f>
        <x:v>HYPERLINK is not implemented. linkLocation=https://pokecottage.com/pokemon-master-sets/sunflora, friendlyName=Sunflora</x:v>
      </x:c>
      <x:c r="D193" s="8" t="str">
        <x:v>Gen 2 • Johto</x:v>
      </x:c>
      <x:c r="E193" s="8"/>
      <x:c r="F193" s="8"/>
    </x:row>
    <x:row r="194" ht="25" customHeight="1">
      <x:c r="A194" s="13" t="str">
        <x:v>☐</x:v>
      </x:c>
      <x:c r="B194" s="11" t="n">
        <x:v>193</x:v>
      </x:c>
      <x:c r="C194" s="15" t="e">
        <x:f>HYPERLINK("https://pokecottage.com/pokemon-master-sets/yanma","Yanma")</x:f>
        <x:v>HYPERLINK is not implemented. linkLocation=https://pokecottage.com/pokemon-master-sets/yanma, friendlyName=Yanma</x:v>
      </x:c>
      <x:c r="D194" s="7" t="str">
        <x:v>Gen 2 • Johto</x:v>
      </x:c>
      <x:c r="E194" s="7"/>
      <x:c r="F194" s="7"/>
    </x:row>
    <x:row r="195" ht="25" customHeight="1">
      <x:c r="A195" s="14" t="str">
        <x:v>☐</x:v>
      </x:c>
      <x:c r="B195" s="12" t="n">
        <x:v>194</x:v>
      </x:c>
      <x:c r="C195" s="16" t="e">
        <x:f>HYPERLINK("https://pokecottage.com/pokemon-master-sets/wooper","Wooper")</x:f>
        <x:v>HYPERLINK is not implemented. linkLocation=https://pokecottage.com/pokemon-master-sets/wooper, friendlyName=Wooper</x:v>
      </x:c>
      <x:c r="D195" s="8" t="str">
        <x:v>Gen 2 • Johto</x:v>
      </x:c>
      <x:c r="E195" s="8"/>
      <x:c r="F195" s="8"/>
    </x:row>
    <x:row r="196" ht="25" customHeight="1">
      <x:c r="A196" s="13" t="str">
        <x:v>☐</x:v>
      </x:c>
      <x:c r="B196" s="11" t="n">
        <x:v>195</x:v>
      </x:c>
      <x:c r="C196" s="15" t="e">
        <x:f>HYPERLINK("https://pokecottage.com/pokemon-master-sets/quagsire","Quagsire")</x:f>
        <x:v>HYPERLINK is not implemented. linkLocation=https://pokecottage.com/pokemon-master-sets/quagsire, friendlyName=Quagsire</x:v>
      </x:c>
      <x:c r="D196" s="7" t="str">
        <x:v>Gen 2 • Johto</x:v>
      </x:c>
      <x:c r="E196" s="7"/>
      <x:c r="F196" s="7"/>
    </x:row>
    <x:row r="197" ht="25" customHeight="1">
      <x:c r="A197" s="14" t="str">
        <x:v>☐</x:v>
      </x:c>
      <x:c r="B197" s="12" t="n">
        <x:v>196</x:v>
      </x:c>
      <x:c r="C197" s="16" t="e">
        <x:f>HYPERLINK("https://pokecottage.com/pokemon-master-sets/espeon","Espeon")</x:f>
        <x:v>HYPERLINK is not implemented. linkLocation=https://pokecottage.com/pokemon-master-sets/espeon, friendlyName=Espeon</x:v>
      </x:c>
      <x:c r="D197" s="8" t="str">
        <x:v>Gen 2 • Johto</x:v>
      </x:c>
      <x:c r="E197" s="8"/>
      <x:c r="F197" s="8"/>
    </x:row>
    <x:row r="198" ht="25" customHeight="1">
      <x:c r="A198" s="13" t="str">
        <x:v>☐</x:v>
      </x:c>
      <x:c r="B198" s="11" t="n">
        <x:v>197</x:v>
      </x:c>
      <x:c r="C198" s="15" t="e">
        <x:f>HYPERLINK("https://pokecottage.com/pokemon-master-sets/umbreon","Umbreon")</x:f>
        <x:v>HYPERLINK is not implemented. linkLocation=https://pokecottage.com/pokemon-master-sets/umbreon, friendlyName=Umbreon</x:v>
      </x:c>
      <x:c r="D198" s="7" t="str">
        <x:v>Gen 2 • Johto</x:v>
      </x:c>
      <x:c r="E198" s="7"/>
      <x:c r="F198" s="7"/>
    </x:row>
    <x:row r="199" ht="25" customHeight="1">
      <x:c r="A199" s="14" t="str">
        <x:v>☐</x:v>
      </x:c>
      <x:c r="B199" s="12" t="n">
        <x:v>198</x:v>
      </x:c>
      <x:c r="C199" s="16" t="e">
        <x:f>HYPERLINK("https://pokecottage.com/pokemon-master-sets/murkrow","Murkrow")</x:f>
        <x:v>HYPERLINK is not implemented. linkLocation=https://pokecottage.com/pokemon-master-sets/murkrow, friendlyName=Murkrow</x:v>
      </x:c>
      <x:c r="D199" s="8" t="str">
        <x:v>Gen 2 • Johto</x:v>
      </x:c>
      <x:c r="E199" s="8"/>
      <x:c r="F199" s="8"/>
    </x:row>
    <x:row r="200" ht="25" customHeight="1">
      <x:c r="A200" s="13" t="str">
        <x:v>☐</x:v>
      </x:c>
      <x:c r="B200" s="11" t="n">
        <x:v>199</x:v>
      </x:c>
      <x:c r="C200" s="15" t="e">
        <x:f>HYPERLINK("https://pokecottage.com/pokemon-master-sets/slowking","Slowking")</x:f>
        <x:v>HYPERLINK is not implemented. linkLocation=https://pokecottage.com/pokemon-master-sets/slowking, friendlyName=Slowking</x:v>
      </x:c>
      <x:c r="D200" s="7" t="str">
        <x:v>Gen 2 • Johto</x:v>
      </x:c>
      <x:c r="E200" s="7"/>
      <x:c r="F200" s="7"/>
    </x:row>
    <x:row r="201" ht="25" customHeight="1">
      <x:c r="A201" s="14" t="str">
        <x:v>☐</x:v>
      </x:c>
      <x:c r="B201" s="12" t="n">
        <x:v>200</x:v>
      </x:c>
      <x:c r="C201" s="16" t="e">
        <x:f>HYPERLINK("https://pokecottage.com/pokemon-master-sets/misdreavus","Misdreavus")</x:f>
        <x:v>HYPERLINK is not implemented. linkLocation=https://pokecottage.com/pokemon-master-sets/misdreavus, friendlyName=Misdreavus</x:v>
      </x:c>
      <x:c r="D201" s="8" t="str">
        <x:v>Gen 2 • Johto</x:v>
      </x:c>
      <x:c r="E201" s="8"/>
      <x:c r="F201" s="8"/>
    </x:row>
    <x:row r="202" ht="25" customHeight="1">
      <x:c r="A202" s="13" t="str">
        <x:v>☐</x:v>
      </x:c>
      <x:c r="B202" s="11" t="n">
        <x:v>201</x:v>
      </x:c>
      <x:c r="C202" s="15" t="e">
        <x:f>HYPERLINK("https://pokecottage.com/pokemon-master-sets/unown","Unown")</x:f>
        <x:v>HYPERLINK is not implemented. linkLocation=https://pokecottage.com/pokemon-master-sets/unown, friendlyName=Unown</x:v>
      </x:c>
      <x:c r="D202" s="7" t="str">
        <x:v>Gen 2 • Johto</x:v>
      </x:c>
      <x:c r="E202" s="7"/>
      <x:c r="F202" s="7"/>
    </x:row>
    <x:row r="203" ht="25" customHeight="1">
      <x:c r="A203" s="14" t="str">
        <x:v>☐</x:v>
      </x:c>
      <x:c r="B203" s="12" t="n">
        <x:v>202</x:v>
      </x:c>
      <x:c r="C203" s="16" t="e">
        <x:f>HYPERLINK("https://pokecottage.com/pokemon-master-sets/wobbuffet","Wobbuffet")</x:f>
        <x:v>HYPERLINK is not implemented. linkLocation=https://pokecottage.com/pokemon-master-sets/wobbuffet, friendlyName=Wobbuffet</x:v>
      </x:c>
      <x:c r="D203" s="8" t="str">
        <x:v>Gen 2 • Johto</x:v>
      </x:c>
      <x:c r="E203" s="8"/>
      <x:c r="F203" s="8"/>
    </x:row>
    <x:row r="204" ht="25" customHeight="1">
      <x:c r="A204" s="13" t="str">
        <x:v>☐</x:v>
      </x:c>
      <x:c r="B204" s="11" t="n">
        <x:v>203</x:v>
      </x:c>
      <x:c r="C204" s="15" t="e">
        <x:f>HYPERLINK("https://pokecottage.com/pokemon-master-sets/girafarig","Girafarig")</x:f>
        <x:v>HYPERLINK is not implemented. linkLocation=https://pokecottage.com/pokemon-master-sets/girafarig, friendlyName=Girafarig</x:v>
      </x:c>
      <x:c r="D204" s="7" t="str">
        <x:v>Gen 2 • Johto</x:v>
      </x:c>
      <x:c r="E204" s="7"/>
      <x:c r="F204" s="7"/>
    </x:row>
    <x:row r="205" ht="25" customHeight="1">
      <x:c r="A205" s="14" t="str">
        <x:v>☐</x:v>
      </x:c>
      <x:c r="B205" s="12" t="n">
        <x:v>204</x:v>
      </x:c>
      <x:c r="C205" s="16" t="e">
        <x:f>HYPERLINK("https://pokecottage.com/pokemon-master-sets/pineco","Pineco")</x:f>
        <x:v>HYPERLINK is not implemented. linkLocation=https://pokecottage.com/pokemon-master-sets/pineco, friendlyName=Pineco</x:v>
      </x:c>
      <x:c r="D205" s="8" t="str">
        <x:v>Gen 2 • Johto</x:v>
      </x:c>
      <x:c r="E205" s="8"/>
      <x:c r="F205" s="8"/>
    </x:row>
    <x:row r="206" ht="25" customHeight="1">
      <x:c r="A206" s="13" t="str">
        <x:v>☐</x:v>
      </x:c>
      <x:c r="B206" s="11" t="n">
        <x:v>205</x:v>
      </x:c>
      <x:c r="C206" s="15" t="e">
        <x:f>HYPERLINK("https://pokecottage.com/pokemon-master-sets/forretress","Forretress")</x:f>
        <x:v>HYPERLINK is not implemented. linkLocation=https://pokecottage.com/pokemon-master-sets/forretress, friendlyName=Forretress</x:v>
      </x:c>
      <x:c r="D206" s="7" t="str">
        <x:v>Gen 2 • Johto</x:v>
      </x:c>
      <x:c r="E206" s="7"/>
      <x:c r="F206" s="7"/>
    </x:row>
    <x:row r="207" ht="25" customHeight="1">
      <x:c r="A207" s="14" t="str">
        <x:v>☐</x:v>
      </x:c>
      <x:c r="B207" s="12" t="n">
        <x:v>206</x:v>
      </x:c>
      <x:c r="C207" s="16" t="e">
        <x:f>HYPERLINK("https://pokecottage.com/pokemon-master-sets/dunsparce","Dunsparce")</x:f>
        <x:v>HYPERLINK is not implemented. linkLocation=https://pokecottage.com/pokemon-master-sets/dunsparce, friendlyName=Dunsparce</x:v>
      </x:c>
      <x:c r="D207" s="8" t="str">
        <x:v>Gen 2 • Johto</x:v>
      </x:c>
      <x:c r="E207" s="8"/>
      <x:c r="F207" s="8"/>
    </x:row>
    <x:row r="208" ht="25" customHeight="1">
      <x:c r="A208" s="13" t="str">
        <x:v>☐</x:v>
      </x:c>
      <x:c r="B208" s="11" t="n">
        <x:v>207</x:v>
      </x:c>
      <x:c r="C208" s="15" t="e">
        <x:f>HYPERLINK("https://pokecottage.com/pokemon-master-sets/gligar","Gligar")</x:f>
        <x:v>HYPERLINK is not implemented. linkLocation=https://pokecottage.com/pokemon-master-sets/gligar, friendlyName=Gligar</x:v>
      </x:c>
      <x:c r="D208" s="7" t="str">
        <x:v>Gen 2 • Johto</x:v>
      </x:c>
      <x:c r="E208" s="7"/>
      <x:c r="F208" s="7"/>
    </x:row>
    <x:row r="209" ht="25" customHeight="1">
      <x:c r="A209" s="14" t="str">
        <x:v>☐</x:v>
      </x:c>
      <x:c r="B209" s="12" t="n">
        <x:v>208</x:v>
      </x:c>
      <x:c r="C209" s="16" t="e">
        <x:f>HYPERLINK("https://pokecottage.com/pokemon-master-sets/steelix","Steelix")</x:f>
        <x:v>HYPERLINK is not implemented. linkLocation=https://pokecottage.com/pokemon-master-sets/steelix, friendlyName=Steelix</x:v>
      </x:c>
      <x:c r="D209" s="8" t="str">
        <x:v>Gen 2 • Johto</x:v>
      </x:c>
      <x:c r="E209" s="8"/>
      <x:c r="F209" s="8"/>
    </x:row>
    <x:row r="210" ht="25" customHeight="1">
      <x:c r="A210" s="13" t="str">
        <x:v>☐</x:v>
      </x:c>
      <x:c r="B210" s="11" t="n">
        <x:v>209</x:v>
      </x:c>
      <x:c r="C210" s="15" t="e">
        <x:f>HYPERLINK("https://pokecottage.com/pokemon-master-sets/snubbull","Snubbull")</x:f>
        <x:v>HYPERLINK is not implemented. linkLocation=https://pokecottage.com/pokemon-master-sets/snubbull, friendlyName=Snubbull</x:v>
      </x:c>
      <x:c r="D210" s="7" t="str">
        <x:v>Gen 2 • Johto</x:v>
      </x:c>
      <x:c r="E210" s="7"/>
      <x:c r="F210" s="7"/>
    </x:row>
    <x:row r="211" ht="25" customHeight="1">
      <x:c r="A211" s="14" t="str">
        <x:v>☐</x:v>
      </x:c>
      <x:c r="B211" s="12" t="n">
        <x:v>210</x:v>
      </x:c>
      <x:c r="C211" s="16" t="e">
        <x:f>HYPERLINK("https://pokecottage.com/pokemon-master-sets/granbull","Granbull")</x:f>
        <x:v>HYPERLINK is not implemented. linkLocation=https://pokecottage.com/pokemon-master-sets/granbull, friendlyName=Granbull</x:v>
      </x:c>
      <x:c r="D211" s="8" t="str">
        <x:v>Gen 2 • Johto</x:v>
      </x:c>
      <x:c r="E211" s="8"/>
      <x:c r="F211" s="8"/>
    </x:row>
    <x:row r="212" ht="25" customHeight="1">
      <x:c r="A212" s="13" t="str">
        <x:v>☐</x:v>
      </x:c>
      <x:c r="B212" s="11" t="n">
        <x:v>211</x:v>
      </x:c>
      <x:c r="C212" s="15" t="e">
        <x:f>HYPERLINK("https://pokecottage.com/pokemon-master-sets/qwilfish","Qwilfish")</x:f>
        <x:v>HYPERLINK is not implemented. linkLocation=https://pokecottage.com/pokemon-master-sets/qwilfish, friendlyName=Qwilfish</x:v>
      </x:c>
      <x:c r="D212" s="7" t="str">
        <x:v>Gen 2 • Johto</x:v>
      </x:c>
      <x:c r="E212" s="7"/>
      <x:c r="F212" s="7"/>
    </x:row>
    <x:row r="213" ht="25" customHeight="1">
      <x:c r="A213" s="14" t="str">
        <x:v>☐</x:v>
      </x:c>
      <x:c r="B213" s="12" t="n">
        <x:v>212</x:v>
      </x:c>
      <x:c r="C213" s="16" t="e">
        <x:f>HYPERLINK("https://pokecottage.com/pokemon-master-sets/scizor","Scizor")</x:f>
        <x:v>HYPERLINK is not implemented. linkLocation=https://pokecottage.com/pokemon-master-sets/scizor, friendlyName=Scizor</x:v>
      </x:c>
      <x:c r="D213" s="8" t="str">
        <x:v>Gen 2 • Johto</x:v>
      </x:c>
      <x:c r="E213" s="8"/>
      <x:c r="F213" s="8"/>
    </x:row>
    <x:row r="214" ht="25" customHeight="1">
      <x:c r="A214" s="13" t="str">
        <x:v>☐</x:v>
      </x:c>
      <x:c r="B214" s="11" t="n">
        <x:v>213</x:v>
      </x:c>
      <x:c r="C214" s="15" t="e">
        <x:f>HYPERLINK("https://pokecottage.com/pokemon-master-sets/shuckle","Shuckle")</x:f>
        <x:v>HYPERLINK is not implemented. linkLocation=https://pokecottage.com/pokemon-master-sets/shuckle, friendlyName=Shuckle</x:v>
      </x:c>
      <x:c r="D214" s="7" t="str">
        <x:v>Gen 2 • Johto</x:v>
      </x:c>
      <x:c r="E214" s="7"/>
      <x:c r="F214" s="7"/>
    </x:row>
    <x:row r="215" ht="25" customHeight="1">
      <x:c r="A215" s="14" t="str">
        <x:v>☐</x:v>
      </x:c>
      <x:c r="B215" s="12" t="n">
        <x:v>214</x:v>
      </x:c>
      <x:c r="C215" s="16" t="e">
        <x:f>HYPERLINK("https://pokecottage.com/pokemon-master-sets/heracross","Heracross")</x:f>
        <x:v>HYPERLINK is not implemented. linkLocation=https://pokecottage.com/pokemon-master-sets/heracross, friendlyName=Heracross</x:v>
      </x:c>
      <x:c r="D215" s="8" t="str">
        <x:v>Gen 2 • Johto</x:v>
      </x:c>
      <x:c r="E215" s="8"/>
      <x:c r="F215" s="8"/>
    </x:row>
    <x:row r="216" ht="25" customHeight="1">
      <x:c r="A216" s="13" t="str">
        <x:v>☐</x:v>
      </x:c>
      <x:c r="B216" s="11" t="n">
        <x:v>215</x:v>
      </x:c>
      <x:c r="C216" s="15" t="e">
        <x:f>HYPERLINK("https://pokecottage.com/pokemon-master-sets/sneasel","Sneasel")</x:f>
        <x:v>HYPERLINK is not implemented. linkLocation=https://pokecottage.com/pokemon-master-sets/sneasel, friendlyName=Sneasel</x:v>
      </x:c>
      <x:c r="D216" s="7" t="str">
        <x:v>Gen 2 • Johto</x:v>
      </x:c>
      <x:c r="E216" s="7"/>
      <x:c r="F216" s="7"/>
    </x:row>
    <x:row r="217" ht="25" customHeight="1">
      <x:c r="A217" s="14" t="str">
        <x:v>☐</x:v>
      </x:c>
      <x:c r="B217" s="12" t="n">
        <x:v>216</x:v>
      </x:c>
      <x:c r="C217" s="16" t="e">
        <x:f>HYPERLINK("https://pokecottage.com/pokemon-master-sets/teddiursa","Teddiursa")</x:f>
        <x:v>HYPERLINK is not implemented. linkLocation=https://pokecottage.com/pokemon-master-sets/teddiursa, friendlyName=Teddiursa</x:v>
      </x:c>
      <x:c r="D217" s="8" t="str">
        <x:v>Gen 2 • Johto</x:v>
      </x:c>
      <x:c r="E217" s="8"/>
      <x:c r="F217" s="8"/>
    </x:row>
    <x:row r="218" ht="25" customHeight="1">
      <x:c r="A218" s="13" t="str">
        <x:v>☐</x:v>
      </x:c>
      <x:c r="B218" s="11" t="n">
        <x:v>217</x:v>
      </x:c>
      <x:c r="C218" s="15" t="e">
        <x:f>HYPERLINK("https://pokecottage.com/pokemon-master-sets/ursaring","Ursaring")</x:f>
        <x:v>HYPERLINK is not implemented. linkLocation=https://pokecottage.com/pokemon-master-sets/ursaring, friendlyName=Ursaring</x:v>
      </x:c>
      <x:c r="D218" s="7" t="str">
        <x:v>Gen 2 • Johto</x:v>
      </x:c>
      <x:c r="E218" s="7"/>
      <x:c r="F218" s="7"/>
    </x:row>
    <x:row r="219" ht="25" customHeight="1">
      <x:c r="A219" s="14" t="str">
        <x:v>☐</x:v>
      </x:c>
      <x:c r="B219" s="12" t="n">
        <x:v>218</x:v>
      </x:c>
      <x:c r="C219" s="16" t="e">
        <x:f>HYPERLINK("https://pokecottage.com/pokemon-master-sets/slugma","Slugma")</x:f>
        <x:v>HYPERLINK is not implemented. linkLocation=https://pokecottage.com/pokemon-master-sets/slugma, friendlyName=Slugma</x:v>
      </x:c>
      <x:c r="D219" s="8" t="str">
        <x:v>Gen 2 • Johto</x:v>
      </x:c>
      <x:c r="E219" s="8"/>
      <x:c r="F219" s="8"/>
    </x:row>
    <x:row r="220" ht="25" customHeight="1">
      <x:c r="A220" s="13" t="str">
        <x:v>☐</x:v>
      </x:c>
      <x:c r="B220" s="11" t="n">
        <x:v>219</x:v>
      </x:c>
      <x:c r="C220" s="15" t="e">
        <x:f>HYPERLINK("https://pokecottage.com/pokemon-master-sets/magcargo","Magcargo")</x:f>
        <x:v>HYPERLINK is not implemented. linkLocation=https://pokecottage.com/pokemon-master-sets/magcargo, friendlyName=Magcargo</x:v>
      </x:c>
      <x:c r="D220" s="7" t="str">
        <x:v>Gen 2 • Johto</x:v>
      </x:c>
      <x:c r="E220" s="7"/>
      <x:c r="F220" s="7"/>
    </x:row>
    <x:row r="221" ht="25" customHeight="1">
      <x:c r="A221" s="14" t="str">
        <x:v>☐</x:v>
      </x:c>
      <x:c r="B221" s="12" t="n">
        <x:v>220</x:v>
      </x:c>
      <x:c r="C221" s="16" t="e">
        <x:f>HYPERLINK("https://pokecottage.com/pokemon-master-sets/swinub","Swinub")</x:f>
        <x:v>HYPERLINK is not implemented. linkLocation=https://pokecottage.com/pokemon-master-sets/swinub, friendlyName=Swinub</x:v>
      </x:c>
      <x:c r="D221" s="8" t="str">
        <x:v>Gen 2 • Johto</x:v>
      </x:c>
      <x:c r="E221" s="8"/>
      <x:c r="F221" s="8"/>
    </x:row>
    <x:row r="222" ht="25" customHeight="1">
      <x:c r="A222" s="13" t="str">
        <x:v>☐</x:v>
      </x:c>
      <x:c r="B222" s="11" t="n">
        <x:v>221</x:v>
      </x:c>
      <x:c r="C222" s="15" t="e">
        <x:f>HYPERLINK("https://pokecottage.com/pokemon-master-sets/piloswine","Piloswine")</x:f>
        <x:v>HYPERLINK is not implemented. linkLocation=https://pokecottage.com/pokemon-master-sets/piloswine, friendlyName=Piloswine</x:v>
      </x:c>
      <x:c r="D222" s="7" t="str">
        <x:v>Gen 2 • Johto</x:v>
      </x:c>
      <x:c r="E222" s="7"/>
      <x:c r="F222" s="7"/>
    </x:row>
    <x:row r="223" ht="25" customHeight="1">
      <x:c r="A223" s="14" t="str">
        <x:v>☐</x:v>
      </x:c>
      <x:c r="B223" s="12" t="n">
        <x:v>222</x:v>
      </x:c>
      <x:c r="C223" s="16" t="e">
        <x:f>HYPERLINK("https://pokecottage.com/pokemon-master-sets/corsola","Corsola")</x:f>
        <x:v>HYPERLINK is not implemented. linkLocation=https://pokecottage.com/pokemon-master-sets/corsola, friendlyName=Corsola</x:v>
      </x:c>
      <x:c r="D223" s="8" t="str">
        <x:v>Gen 2 • Johto</x:v>
      </x:c>
      <x:c r="E223" s="8"/>
      <x:c r="F223" s="8"/>
    </x:row>
    <x:row r="224" ht="25" customHeight="1">
      <x:c r="A224" s="13" t="str">
        <x:v>☐</x:v>
      </x:c>
      <x:c r="B224" s="11" t="n">
        <x:v>223</x:v>
      </x:c>
      <x:c r="C224" s="15" t="e">
        <x:f>HYPERLINK("https://pokecottage.com/pokemon-master-sets/remoraid","Remoraid")</x:f>
        <x:v>HYPERLINK is not implemented. linkLocation=https://pokecottage.com/pokemon-master-sets/remoraid, friendlyName=Remoraid</x:v>
      </x:c>
      <x:c r="D224" s="7" t="str">
        <x:v>Gen 2 • Johto</x:v>
      </x:c>
      <x:c r="E224" s="7"/>
      <x:c r="F224" s="7"/>
    </x:row>
    <x:row r="225" ht="25" customHeight="1">
      <x:c r="A225" s="14" t="str">
        <x:v>☐</x:v>
      </x:c>
      <x:c r="B225" s="12" t="n">
        <x:v>224</x:v>
      </x:c>
      <x:c r="C225" s="16" t="e">
        <x:f>HYPERLINK("https://pokecottage.com/pokemon-master-sets/octillery","Octillery")</x:f>
        <x:v>HYPERLINK is not implemented. linkLocation=https://pokecottage.com/pokemon-master-sets/octillery, friendlyName=Octillery</x:v>
      </x:c>
      <x:c r="D225" s="8" t="str">
        <x:v>Gen 2 • Johto</x:v>
      </x:c>
      <x:c r="E225" s="8"/>
      <x:c r="F225" s="8"/>
    </x:row>
    <x:row r="226" ht="25" customHeight="1">
      <x:c r="A226" s="13" t="str">
        <x:v>☐</x:v>
      </x:c>
      <x:c r="B226" s="11" t="n">
        <x:v>225</x:v>
      </x:c>
      <x:c r="C226" s="15" t="e">
        <x:f>HYPERLINK("https://pokecottage.com/pokemon-master-sets/delibird","Delibird")</x:f>
        <x:v>HYPERLINK is not implemented. linkLocation=https://pokecottage.com/pokemon-master-sets/delibird, friendlyName=Delibird</x:v>
      </x:c>
      <x:c r="D226" s="7" t="str">
        <x:v>Gen 2 • Johto</x:v>
      </x:c>
      <x:c r="E226" s="7"/>
      <x:c r="F226" s="7"/>
    </x:row>
    <x:row r="227" ht="25" customHeight="1">
      <x:c r="A227" s="14" t="str">
        <x:v>☐</x:v>
      </x:c>
      <x:c r="B227" s="12" t="n">
        <x:v>226</x:v>
      </x:c>
      <x:c r="C227" s="16" t="e">
        <x:f>HYPERLINK("https://pokecottage.com/pokemon-master-sets/mantine","Mantine")</x:f>
        <x:v>HYPERLINK is not implemented. linkLocation=https://pokecottage.com/pokemon-master-sets/mantine, friendlyName=Mantine</x:v>
      </x:c>
      <x:c r="D227" s="8" t="str">
        <x:v>Gen 2 • Johto</x:v>
      </x:c>
      <x:c r="E227" s="8"/>
      <x:c r="F227" s="8"/>
    </x:row>
    <x:row r="228" ht="25" customHeight="1">
      <x:c r="A228" s="13" t="str">
        <x:v>☐</x:v>
      </x:c>
      <x:c r="B228" s="11" t="n">
        <x:v>227</x:v>
      </x:c>
      <x:c r="C228" s="15" t="e">
        <x:f>HYPERLINK("https://pokecottage.com/pokemon-master-sets/skarmory","Skarmory")</x:f>
        <x:v>HYPERLINK is not implemented. linkLocation=https://pokecottage.com/pokemon-master-sets/skarmory, friendlyName=Skarmory</x:v>
      </x:c>
      <x:c r="D228" s="7" t="str">
        <x:v>Gen 2 • Johto</x:v>
      </x:c>
      <x:c r="E228" s="7"/>
      <x:c r="F228" s="7"/>
    </x:row>
    <x:row r="229" ht="25" customHeight="1">
      <x:c r="A229" s="14" t="str">
        <x:v>☐</x:v>
      </x:c>
      <x:c r="B229" s="12" t="n">
        <x:v>228</x:v>
      </x:c>
      <x:c r="C229" s="16" t="e">
        <x:f>HYPERLINK("https://pokecottage.com/pokemon-master-sets/houndour","Houndour")</x:f>
        <x:v>HYPERLINK is not implemented. linkLocation=https://pokecottage.com/pokemon-master-sets/houndour, friendlyName=Houndour</x:v>
      </x:c>
      <x:c r="D229" s="8" t="str">
        <x:v>Gen 2 • Johto</x:v>
      </x:c>
      <x:c r="E229" s="8"/>
      <x:c r="F229" s="8"/>
    </x:row>
    <x:row r="230" ht="25" customHeight="1">
      <x:c r="A230" s="13" t="str">
        <x:v>☐</x:v>
      </x:c>
      <x:c r="B230" s="11" t="n">
        <x:v>229</x:v>
      </x:c>
      <x:c r="C230" s="15" t="e">
        <x:f>HYPERLINK("https://pokecottage.com/pokemon-master-sets/houndoom","Houndoom")</x:f>
        <x:v>HYPERLINK is not implemented. linkLocation=https://pokecottage.com/pokemon-master-sets/houndoom, friendlyName=Houndoom</x:v>
      </x:c>
      <x:c r="D230" s="7" t="str">
        <x:v>Gen 2 • Johto</x:v>
      </x:c>
      <x:c r="E230" s="7"/>
      <x:c r="F230" s="7"/>
    </x:row>
    <x:row r="231" ht="25" customHeight="1">
      <x:c r="A231" s="14" t="str">
        <x:v>☐</x:v>
      </x:c>
      <x:c r="B231" s="12" t="n">
        <x:v>230</x:v>
      </x:c>
      <x:c r="C231" s="16" t="e">
        <x:f>HYPERLINK("https://pokecottage.com/pokemon-master-sets/kingdra","Kingdra")</x:f>
        <x:v>HYPERLINK is not implemented. linkLocation=https://pokecottage.com/pokemon-master-sets/kingdra, friendlyName=Kingdra</x:v>
      </x:c>
      <x:c r="D231" s="8" t="str">
        <x:v>Gen 2 • Johto</x:v>
      </x:c>
      <x:c r="E231" s="8"/>
      <x:c r="F231" s="8"/>
    </x:row>
    <x:row r="232" ht="25" customHeight="1">
      <x:c r="A232" s="13" t="str">
        <x:v>☐</x:v>
      </x:c>
      <x:c r="B232" s="11" t="n">
        <x:v>231</x:v>
      </x:c>
      <x:c r="C232" s="15" t="e">
        <x:f>HYPERLINK("https://pokecottage.com/pokemon-master-sets/phanpy","Phanpy")</x:f>
        <x:v>HYPERLINK is not implemented. linkLocation=https://pokecottage.com/pokemon-master-sets/phanpy, friendlyName=Phanpy</x:v>
      </x:c>
      <x:c r="D232" s="7" t="str">
        <x:v>Gen 2 • Johto</x:v>
      </x:c>
      <x:c r="E232" s="7"/>
      <x:c r="F232" s="7"/>
    </x:row>
    <x:row r="233" ht="25" customHeight="1">
      <x:c r="A233" s="14" t="str">
        <x:v>☐</x:v>
      </x:c>
      <x:c r="B233" s="12" t="n">
        <x:v>232</x:v>
      </x:c>
      <x:c r="C233" s="16" t="e">
        <x:f>HYPERLINK("https://pokecottage.com/pokemon-master-sets/donphan","Donphan")</x:f>
        <x:v>HYPERLINK is not implemented. linkLocation=https://pokecottage.com/pokemon-master-sets/donphan, friendlyName=Donphan</x:v>
      </x:c>
      <x:c r="D233" s="8" t="str">
        <x:v>Gen 2 • Johto</x:v>
      </x:c>
      <x:c r="E233" s="8"/>
      <x:c r="F233" s="8"/>
    </x:row>
    <x:row r="234" ht="25" customHeight="1">
      <x:c r="A234" s="13" t="str">
        <x:v>☐</x:v>
      </x:c>
      <x:c r="B234" s="11" t="n">
        <x:v>233</x:v>
      </x:c>
      <x:c r="C234" s="15" t="e">
        <x:f>HYPERLINK("https://pokecottage.com/pokemon-master-sets/porygon2","Porygon2")</x:f>
        <x:v>HYPERLINK is not implemented. linkLocation=https://pokecottage.com/pokemon-master-sets/porygon2, friendlyName=Porygon2</x:v>
      </x:c>
      <x:c r="D234" s="7" t="str">
        <x:v>Gen 2 • Johto</x:v>
      </x:c>
      <x:c r="E234" s="7"/>
      <x:c r="F234" s="7"/>
    </x:row>
    <x:row r="235" ht="25" customHeight="1">
      <x:c r="A235" s="14" t="str">
        <x:v>☐</x:v>
      </x:c>
      <x:c r="B235" s="12" t="n">
        <x:v>234</x:v>
      </x:c>
      <x:c r="C235" s="16" t="e">
        <x:f>HYPERLINK("https://pokecottage.com/pokemon-master-sets/stantler","Stantler")</x:f>
        <x:v>HYPERLINK is not implemented. linkLocation=https://pokecottage.com/pokemon-master-sets/stantler, friendlyName=Stantler</x:v>
      </x:c>
      <x:c r="D235" s="8" t="str">
        <x:v>Gen 2 • Johto</x:v>
      </x:c>
      <x:c r="E235" s="8"/>
      <x:c r="F235" s="8"/>
    </x:row>
    <x:row r="236" ht="25" customHeight="1">
      <x:c r="A236" s="13" t="str">
        <x:v>☐</x:v>
      </x:c>
      <x:c r="B236" s="11" t="n">
        <x:v>235</x:v>
      </x:c>
      <x:c r="C236" s="15" t="e">
        <x:f>HYPERLINK("https://pokecottage.com/pokemon-master-sets/smeargle","Smeargle")</x:f>
        <x:v>HYPERLINK is not implemented. linkLocation=https://pokecottage.com/pokemon-master-sets/smeargle, friendlyName=Smeargle</x:v>
      </x:c>
      <x:c r="D236" s="7" t="str">
        <x:v>Gen 2 • Johto</x:v>
      </x:c>
      <x:c r="E236" s="7"/>
      <x:c r="F236" s="7"/>
    </x:row>
    <x:row r="237" ht="25" customHeight="1">
      <x:c r="A237" s="14" t="str">
        <x:v>☐</x:v>
      </x:c>
      <x:c r="B237" s="12" t="n">
        <x:v>236</x:v>
      </x:c>
      <x:c r="C237" s="16" t="e">
        <x:f>HYPERLINK("https://pokecottage.com/pokemon-master-sets/tyrogue","Tyrogue")</x:f>
        <x:v>HYPERLINK is not implemented. linkLocation=https://pokecottage.com/pokemon-master-sets/tyrogue, friendlyName=Tyrogue</x:v>
      </x:c>
      <x:c r="D237" s="8" t="str">
        <x:v>Gen 2 • Johto</x:v>
      </x:c>
      <x:c r="E237" s="8"/>
      <x:c r="F237" s="8"/>
    </x:row>
    <x:row r="238" ht="25" customHeight="1">
      <x:c r="A238" s="13" t="str">
        <x:v>☐</x:v>
      </x:c>
      <x:c r="B238" s="11" t="n">
        <x:v>237</x:v>
      </x:c>
      <x:c r="C238" s="15" t="e">
        <x:f>HYPERLINK("https://pokecottage.com/pokemon-master-sets/hitmontop","Hitmontop")</x:f>
        <x:v>HYPERLINK is not implemented. linkLocation=https://pokecottage.com/pokemon-master-sets/hitmontop, friendlyName=Hitmontop</x:v>
      </x:c>
      <x:c r="D238" s="7" t="str">
        <x:v>Gen 2 • Johto</x:v>
      </x:c>
      <x:c r="E238" s="7"/>
      <x:c r="F238" s="7"/>
    </x:row>
    <x:row r="239" ht="25" customHeight="1">
      <x:c r="A239" s="14" t="str">
        <x:v>☐</x:v>
      </x:c>
      <x:c r="B239" s="12" t="n">
        <x:v>238</x:v>
      </x:c>
      <x:c r="C239" s="16" t="e">
        <x:f>HYPERLINK("https://pokecottage.com/pokemon-master-sets/smoochum","Smoochum")</x:f>
        <x:v>HYPERLINK is not implemented. linkLocation=https://pokecottage.com/pokemon-master-sets/smoochum, friendlyName=Smoochum</x:v>
      </x:c>
      <x:c r="D239" s="8" t="str">
        <x:v>Gen 2 • Johto</x:v>
      </x:c>
      <x:c r="E239" s="8"/>
      <x:c r="F239" s="8"/>
    </x:row>
    <x:row r="240" ht="25" customHeight="1">
      <x:c r="A240" s="13" t="str">
        <x:v>☐</x:v>
      </x:c>
      <x:c r="B240" s="11" t="n">
        <x:v>239</x:v>
      </x:c>
      <x:c r="C240" s="15" t="e">
        <x:f>HYPERLINK("https://pokecottage.com/pokemon-master-sets/elekid","Elekid")</x:f>
        <x:v>HYPERLINK is not implemented. linkLocation=https://pokecottage.com/pokemon-master-sets/elekid, friendlyName=Elekid</x:v>
      </x:c>
      <x:c r="D240" s="7" t="str">
        <x:v>Gen 2 • Johto</x:v>
      </x:c>
      <x:c r="E240" s="7"/>
      <x:c r="F240" s="7"/>
    </x:row>
    <x:row r="241" ht="25" customHeight="1">
      <x:c r="A241" s="14" t="str">
        <x:v>☐</x:v>
      </x:c>
      <x:c r="B241" s="12" t="n">
        <x:v>240</x:v>
      </x:c>
      <x:c r="C241" s="16" t="e">
        <x:f>HYPERLINK("https://pokecottage.com/pokemon-master-sets/magby","Magby")</x:f>
        <x:v>HYPERLINK is not implemented. linkLocation=https://pokecottage.com/pokemon-master-sets/magby, friendlyName=Magby</x:v>
      </x:c>
      <x:c r="D241" s="8" t="str">
        <x:v>Gen 2 • Johto</x:v>
      </x:c>
      <x:c r="E241" s="8"/>
      <x:c r="F241" s="8"/>
    </x:row>
    <x:row r="242" ht="25" customHeight="1">
      <x:c r="A242" s="13" t="str">
        <x:v>☐</x:v>
      </x:c>
      <x:c r="B242" s="11" t="n">
        <x:v>241</x:v>
      </x:c>
      <x:c r="C242" s="15" t="e">
        <x:f>HYPERLINK("https://pokecottage.com/pokemon-master-sets/miltank","Miltank")</x:f>
        <x:v>HYPERLINK is not implemented. linkLocation=https://pokecottage.com/pokemon-master-sets/miltank, friendlyName=Miltank</x:v>
      </x:c>
      <x:c r="D242" s="7" t="str">
        <x:v>Gen 2 • Johto</x:v>
      </x:c>
      <x:c r="E242" s="7"/>
      <x:c r="F242" s="7"/>
    </x:row>
    <x:row r="243" ht="25" customHeight="1">
      <x:c r="A243" s="14" t="str">
        <x:v>☐</x:v>
      </x:c>
      <x:c r="B243" s="12" t="n">
        <x:v>242</x:v>
      </x:c>
      <x:c r="C243" s="16" t="e">
        <x:f>HYPERLINK("https://pokecottage.com/pokemon-master-sets/blissey","Blissey")</x:f>
        <x:v>HYPERLINK is not implemented. linkLocation=https://pokecottage.com/pokemon-master-sets/blissey, friendlyName=Blissey</x:v>
      </x:c>
      <x:c r="D243" s="8" t="str">
        <x:v>Gen 2 • Johto</x:v>
      </x:c>
      <x:c r="E243" s="8"/>
      <x:c r="F243" s="8"/>
    </x:row>
    <x:row r="244" ht="25" customHeight="1">
      <x:c r="A244" s="13" t="str">
        <x:v>☐</x:v>
      </x:c>
      <x:c r="B244" s="11" t="n">
        <x:v>243</x:v>
      </x:c>
      <x:c r="C244" s="15" t="e">
        <x:f>HYPERLINK("https://pokecottage.com/pokemon-master-sets/raikou","Raikou")</x:f>
        <x:v>HYPERLINK is not implemented. linkLocation=https://pokecottage.com/pokemon-master-sets/raikou, friendlyName=Raikou</x:v>
      </x:c>
      <x:c r="D244" s="7" t="str">
        <x:v>Gen 2 • Johto</x:v>
      </x:c>
      <x:c r="E244" s="7"/>
      <x:c r="F244" s="7"/>
    </x:row>
    <x:row r="245" ht="25" customHeight="1">
      <x:c r="A245" s="14" t="str">
        <x:v>☐</x:v>
      </x:c>
      <x:c r="B245" s="12" t="n">
        <x:v>244</x:v>
      </x:c>
      <x:c r="C245" s="16" t="e">
        <x:f>HYPERLINK("https://pokecottage.com/pokemon-master-sets/entei","Entei")</x:f>
        <x:v>HYPERLINK is not implemented. linkLocation=https://pokecottage.com/pokemon-master-sets/entei, friendlyName=Entei</x:v>
      </x:c>
      <x:c r="D245" s="8" t="str">
        <x:v>Gen 2 • Johto</x:v>
      </x:c>
      <x:c r="E245" s="8"/>
      <x:c r="F245" s="8"/>
    </x:row>
    <x:row r="246" ht="25" customHeight="1">
      <x:c r="A246" s="13" t="str">
        <x:v>☐</x:v>
      </x:c>
      <x:c r="B246" s="11" t="n">
        <x:v>245</x:v>
      </x:c>
      <x:c r="C246" s="15" t="e">
        <x:f>HYPERLINK("https://pokecottage.com/pokemon-master-sets/suicune","Suicune")</x:f>
        <x:v>HYPERLINK is not implemented. linkLocation=https://pokecottage.com/pokemon-master-sets/suicune, friendlyName=Suicune</x:v>
      </x:c>
      <x:c r="D246" s="7" t="str">
        <x:v>Gen 2 • Johto</x:v>
      </x:c>
      <x:c r="E246" s="7"/>
      <x:c r="F246" s="7"/>
    </x:row>
    <x:row r="247" ht="25" customHeight="1">
      <x:c r="A247" s="14" t="str">
        <x:v>☐</x:v>
      </x:c>
      <x:c r="B247" s="12" t="n">
        <x:v>246</x:v>
      </x:c>
      <x:c r="C247" s="16" t="e">
        <x:f>HYPERLINK("https://pokecottage.com/pokemon-master-sets/larvitar","Larvitar")</x:f>
        <x:v>HYPERLINK is not implemented. linkLocation=https://pokecottage.com/pokemon-master-sets/larvitar, friendlyName=Larvitar</x:v>
      </x:c>
      <x:c r="D247" s="8" t="str">
        <x:v>Gen 2 • Johto</x:v>
      </x:c>
      <x:c r="E247" s="8"/>
      <x:c r="F247" s="8"/>
    </x:row>
    <x:row r="248" ht="25" customHeight="1">
      <x:c r="A248" s="13" t="str">
        <x:v>☐</x:v>
      </x:c>
      <x:c r="B248" s="11" t="n">
        <x:v>247</x:v>
      </x:c>
      <x:c r="C248" s="15" t="e">
        <x:f>HYPERLINK("https://pokecottage.com/pokemon-master-sets/pupitar","Pupitar")</x:f>
        <x:v>HYPERLINK is not implemented. linkLocation=https://pokecottage.com/pokemon-master-sets/pupitar, friendlyName=Pupitar</x:v>
      </x:c>
      <x:c r="D248" s="7" t="str">
        <x:v>Gen 2 • Johto</x:v>
      </x:c>
      <x:c r="E248" s="7"/>
      <x:c r="F248" s="7"/>
    </x:row>
    <x:row r="249" ht="25" customHeight="1">
      <x:c r="A249" s="14" t="str">
        <x:v>☐</x:v>
      </x:c>
      <x:c r="B249" s="12" t="n">
        <x:v>248</x:v>
      </x:c>
      <x:c r="C249" s="16" t="e">
        <x:f>HYPERLINK("https://pokecottage.com/pokemon-master-sets/tyranitar","Tyranitar")</x:f>
        <x:v>HYPERLINK is not implemented. linkLocation=https://pokecottage.com/pokemon-master-sets/tyranitar, friendlyName=Tyranitar</x:v>
      </x:c>
      <x:c r="D249" s="8" t="str">
        <x:v>Gen 2 • Johto</x:v>
      </x:c>
      <x:c r="E249" s="8"/>
      <x:c r="F249" s="8"/>
    </x:row>
    <x:row r="250" ht="25" customHeight="1">
      <x:c r="A250" s="13" t="str">
        <x:v>☐</x:v>
      </x:c>
      <x:c r="B250" s="11" t="n">
        <x:v>249</x:v>
      </x:c>
      <x:c r="C250" s="15" t="e">
        <x:f>HYPERLINK("https://pokecottage.com/pokemon-master-sets/lugia","Lugia")</x:f>
        <x:v>HYPERLINK is not implemented. linkLocation=https://pokecottage.com/pokemon-master-sets/lugia, friendlyName=Lugia</x:v>
      </x:c>
      <x:c r="D250" s="7" t="str">
        <x:v>Gen 2 • Johto</x:v>
      </x:c>
      <x:c r="E250" s="7"/>
      <x:c r="F250" s="7"/>
    </x:row>
    <x:row r="251" ht="25" customHeight="1">
      <x:c r="A251" s="14" t="str">
        <x:v>☐</x:v>
      </x:c>
      <x:c r="B251" s="12" t="n">
        <x:v>250</x:v>
      </x:c>
      <x:c r="C251" s="16" t="e">
        <x:f>HYPERLINK("https://pokecottage.com/pokemon-master-sets/ho-oh","Ho-Oh")</x:f>
        <x:v>HYPERLINK is not implemented. linkLocation=https://pokecottage.com/pokemon-master-sets/ho-oh, friendlyName=Ho-Oh</x:v>
      </x:c>
      <x:c r="D251" s="8" t="str">
        <x:v>Gen 2 • Johto</x:v>
      </x:c>
      <x:c r="E251" s="8"/>
      <x:c r="F251" s="8"/>
    </x:row>
    <x:row r="252" ht="25" customHeight="1">
      <x:c r="A252" s="13" t="str">
        <x:v>☐</x:v>
      </x:c>
      <x:c r="B252" s="11" t="n">
        <x:v>251</x:v>
      </x:c>
      <x:c r="C252" s="15" t="e">
        <x:f>HYPERLINK("https://pokecottage.com/pokemon-master-sets/celebi","Celebi")</x:f>
        <x:v>HYPERLINK is not implemented. linkLocation=https://pokecottage.com/pokemon-master-sets/celebi, friendlyName=Celebi</x:v>
      </x:c>
      <x:c r="D252" s="7" t="str">
        <x:v>Gen 2 • Johto</x:v>
      </x:c>
      <x:c r="E252" s="7"/>
      <x:c r="F252" s="7"/>
    </x:row>
    <x:row r="253" ht="25" customHeight="1">
      <x:c r="A253" s="14" t="str">
        <x:v>☐</x:v>
      </x:c>
      <x:c r="B253" s="12" t="n">
        <x:v>252</x:v>
      </x:c>
      <x:c r="C253" s="16" t="e">
        <x:f>HYPERLINK("https://pokecottage.com/pokemon-master-sets/treecko","Treecko")</x:f>
        <x:v>HYPERLINK is not implemented. linkLocation=https://pokecottage.com/pokemon-master-sets/treecko, friendlyName=Treecko</x:v>
      </x:c>
      <x:c r="D253" s="8" t="str">
        <x:v>Gen 3 • Hoenn</x:v>
      </x:c>
      <x:c r="E253" s="8"/>
      <x:c r="F253" s="8"/>
    </x:row>
    <x:row r="254" ht="25" customHeight="1">
      <x:c r="A254" s="13" t="str">
        <x:v>☐</x:v>
      </x:c>
      <x:c r="B254" s="11" t="n">
        <x:v>253</x:v>
      </x:c>
      <x:c r="C254" s="15" t="e">
        <x:f>HYPERLINK("https://pokecottage.com/pokemon-master-sets/grovyle","Grovyle")</x:f>
        <x:v>HYPERLINK is not implemented. linkLocation=https://pokecottage.com/pokemon-master-sets/grovyle, friendlyName=Grovyle</x:v>
      </x:c>
      <x:c r="D254" s="7" t="str">
        <x:v>Gen 3 • Hoenn</x:v>
      </x:c>
      <x:c r="E254" s="7"/>
      <x:c r="F254" s="7"/>
    </x:row>
    <x:row r="255" ht="25" customHeight="1">
      <x:c r="A255" s="14" t="str">
        <x:v>☐</x:v>
      </x:c>
      <x:c r="B255" s="12" t="n">
        <x:v>254</x:v>
      </x:c>
      <x:c r="C255" s="16" t="e">
        <x:f>HYPERLINK("https://pokecottage.com/pokemon-master-sets/sceptile","Sceptile")</x:f>
        <x:v>HYPERLINK is not implemented. linkLocation=https://pokecottage.com/pokemon-master-sets/sceptile, friendlyName=Sceptile</x:v>
      </x:c>
      <x:c r="D255" s="8" t="str">
        <x:v>Gen 3 • Hoenn</x:v>
      </x:c>
      <x:c r="E255" s="8"/>
      <x:c r="F255" s="8"/>
    </x:row>
    <x:row r="256" ht="25" customHeight="1">
      <x:c r="A256" s="13" t="str">
        <x:v>☐</x:v>
      </x:c>
      <x:c r="B256" s="11" t="n">
        <x:v>255</x:v>
      </x:c>
      <x:c r="C256" s="15" t="e">
        <x:f>HYPERLINK("https://pokecottage.com/pokemon-master-sets/torchic","Torchic")</x:f>
        <x:v>HYPERLINK is not implemented. linkLocation=https://pokecottage.com/pokemon-master-sets/torchic, friendlyName=Torchic</x:v>
      </x:c>
      <x:c r="D256" s="7" t="str">
        <x:v>Gen 3 • Hoenn</x:v>
      </x:c>
      <x:c r="E256" s="7"/>
      <x:c r="F256" s="7"/>
    </x:row>
    <x:row r="257" ht="25" customHeight="1">
      <x:c r="A257" s="14" t="str">
        <x:v>☐</x:v>
      </x:c>
      <x:c r="B257" s="12" t="n">
        <x:v>256</x:v>
      </x:c>
      <x:c r="C257" s="16" t="e">
        <x:f>HYPERLINK("https://pokecottage.com/pokemon-master-sets/combusken","Combusken")</x:f>
        <x:v>HYPERLINK is not implemented. linkLocation=https://pokecottage.com/pokemon-master-sets/combusken, friendlyName=Combusken</x:v>
      </x:c>
      <x:c r="D257" s="8" t="str">
        <x:v>Gen 3 • Hoenn</x:v>
      </x:c>
      <x:c r="E257" s="8"/>
      <x:c r="F257" s="8"/>
    </x:row>
    <x:row r="258" ht="25" customHeight="1">
      <x:c r="A258" s="13" t="str">
        <x:v>☐</x:v>
      </x:c>
      <x:c r="B258" s="11" t="n">
        <x:v>257</x:v>
      </x:c>
      <x:c r="C258" s="15" t="e">
        <x:f>HYPERLINK("https://pokecottage.com/pokemon-master-sets/blaziken","Blaziken")</x:f>
        <x:v>HYPERLINK is not implemented. linkLocation=https://pokecottage.com/pokemon-master-sets/blaziken, friendlyName=Blaziken</x:v>
      </x:c>
      <x:c r="D258" s="7" t="str">
        <x:v>Gen 3 • Hoenn</x:v>
      </x:c>
      <x:c r="E258" s="7"/>
      <x:c r="F258" s="7"/>
    </x:row>
    <x:row r="259" ht="25" customHeight="1">
      <x:c r="A259" s="14" t="str">
        <x:v>☐</x:v>
      </x:c>
      <x:c r="B259" s="12" t="n">
        <x:v>258</x:v>
      </x:c>
      <x:c r="C259" s="16" t="e">
        <x:f>HYPERLINK("https://pokecottage.com/pokemon-master-sets/mudkip","Mudkip")</x:f>
        <x:v>HYPERLINK is not implemented. linkLocation=https://pokecottage.com/pokemon-master-sets/mudkip, friendlyName=Mudkip</x:v>
      </x:c>
      <x:c r="D259" s="8" t="str">
        <x:v>Gen 3 • Hoenn</x:v>
      </x:c>
      <x:c r="E259" s="8"/>
      <x:c r="F259" s="8"/>
    </x:row>
    <x:row r="260" ht="25" customHeight="1">
      <x:c r="A260" s="13" t="str">
        <x:v>☐</x:v>
      </x:c>
      <x:c r="B260" s="11" t="n">
        <x:v>259</x:v>
      </x:c>
      <x:c r="C260" s="15" t="e">
        <x:f>HYPERLINK("https://pokecottage.com/pokemon-master-sets/marshtomp","Marshtomp")</x:f>
        <x:v>HYPERLINK is not implemented. linkLocation=https://pokecottage.com/pokemon-master-sets/marshtomp, friendlyName=Marshtomp</x:v>
      </x:c>
      <x:c r="D260" s="7" t="str">
        <x:v>Gen 3 • Hoenn</x:v>
      </x:c>
      <x:c r="E260" s="7"/>
      <x:c r="F260" s="7"/>
    </x:row>
    <x:row r="261" ht="25" customHeight="1">
      <x:c r="A261" s="14" t="str">
        <x:v>☐</x:v>
      </x:c>
      <x:c r="B261" s="12" t="n">
        <x:v>260</x:v>
      </x:c>
      <x:c r="C261" s="16" t="e">
        <x:f>HYPERLINK("https://pokecottage.com/pokemon-master-sets/swampert","Swampert")</x:f>
        <x:v>HYPERLINK is not implemented. linkLocation=https://pokecottage.com/pokemon-master-sets/swampert, friendlyName=Swampert</x:v>
      </x:c>
      <x:c r="D261" s="8" t="str">
        <x:v>Gen 3 • Hoenn</x:v>
      </x:c>
      <x:c r="E261" s="8"/>
      <x:c r="F261" s="8"/>
    </x:row>
    <x:row r="262" ht="25" customHeight="1">
      <x:c r="A262" s="13" t="str">
        <x:v>☐</x:v>
      </x:c>
      <x:c r="B262" s="11" t="n">
        <x:v>261</x:v>
      </x:c>
      <x:c r="C262" s="15" t="e">
        <x:f>HYPERLINK("https://pokecottage.com/pokemon-master-sets/poochyena","Poochyena")</x:f>
        <x:v>HYPERLINK is not implemented. linkLocation=https://pokecottage.com/pokemon-master-sets/poochyena, friendlyName=Poochyena</x:v>
      </x:c>
      <x:c r="D262" s="7" t="str">
        <x:v>Gen 3 • Hoenn</x:v>
      </x:c>
      <x:c r="E262" s="7"/>
      <x:c r="F262" s="7"/>
    </x:row>
    <x:row r="263" ht="25" customHeight="1">
      <x:c r="A263" s="14" t="str">
        <x:v>☐</x:v>
      </x:c>
      <x:c r="B263" s="12" t="n">
        <x:v>262</x:v>
      </x:c>
      <x:c r="C263" s="16" t="e">
        <x:f>HYPERLINK("https://pokecottage.com/pokemon-master-sets/mightyena","Mightyena")</x:f>
        <x:v>HYPERLINK is not implemented. linkLocation=https://pokecottage.com/pokemon-master-sets/mightyena, friendlyName=Mightyena</x:v>
      </x:c>
      <x:c r="D263" s="8" t="str">
        <x:v>Gen 3 • Hoenn</x:v>
      </x:c>
      <x:c r="E263" s="8"/>
      <x:c r="F263" s="8"/>
    </x:row>
    <x:row r="264" ht="25" customHeight="1">
      <x:c r="A264" s="13" t="str">
        <x:v>☐</x:v>
      </x:c>
      <x:c r="B264" s="11" t="n">
        <x:v>263</x:v>
      </x:c>
      <x:c r="C264" s="15" t="e">
        <x:f>HYPERLINK("https://pokecottage.com/pokemon-master-sets/zigzagoon","Zigzagoon")</x:f>
        <x:v>HYPERLINK is not implemented. linkLocation=https://pokecottage.com/pokemon-master-sets/zigzagoon, friendlyName=Zigzagoon</x:v>
      </x:c>
      <x:c r="D264" s="7" t="str">
        <x:v>Gen 3 • Hoenn</x:v>
      </x:c>
      <x:c r="E264" s="7"/>
      <x:c r="F264" s="7"/>
    </x:row>
    <x:row r="265" ht="25" customHeight="1">
      <x:c r="A265" s="14" t="str">
        <x:v>☐</x:v>
      </x:c>
      <x:c r="B265" s="12" t="n">
        <x:v>264</x:v>
      </x:c>
      <x:c r="C265" s="16" t="e">
        <x:f>HYPERLINK("https://pokecottage.com/pokemon-master-sets/linoone","Linoone")</x:f>
        <x:v>HYPERLINK is not implemented. linkLocation=https://pokecottage.com/pokemon-master-sets/linoone, friendlyName=Linoone</x:v>
      </x:c>
      <x:c r="D265" s="8" t="str">
        <x:v>Gen 3 • Hoenn</x:v>
      </x:c>
      <x:c r="E265" s="8"/>
      <x:c r="F265" s="8"/>
    </x:row>
    <x:row r="266" ht="25" customHeight="1">
      <x:c r="A266" s="13" t="str">
        <x:v>☐</x:v>
      </x:c>
      <x:c r="B266" s="11" t="n">
        <x:v>265</x:v>
      </x:c>
      <x:c r="C266" s="15" t="e">
        <x:f>HYPERLINK("https://pokecottage.com/pokemon-master-sets/wurmple","Wurmple")</x:f>
        <x:v>HYPERLINK is not implemented. linkLocation=https://pokecottage.com/pokemon-master-sets/wurmple, friendlyName=Wurmple</x:v>
      </x:c>
      <x:c r="D266" s="7" t="str">
        <x:v>Gen 3 • Hoenn</x:v>
      </x:c>
      <x:c r="E266" s="7"/>
      <x:c r="F266" s="7"/>
    </x:row>
    <x:row r="267" ht="25" customHeight="1">
      <x:c r="A267" s="14" t="str">
        <x:v>☐</x:v>
      </x:c>
      <x:c r="B267" s="12" t="n">
        <x:v>266</x:v>
      </x:c>
      <x:c r="C267" s="16" t="e">
        <x:f>HYPERLINK("https://pokecottage.com/pokemon-master-sets/silcoon","Silcoon")</x:f>
        <x:v>HYPERLINK is not implemented. linkLocation=https://pokecottage.com/pokemon-master-sets/silcoon, friendlyName=Silcoon</x:v>
      </x:c>
      <x:c r="D267" s="8" t="str">
        <x:v>Gen 3 • Hoenn</x:v>
      </x:c>
      <x:c r="E267" s="8"/>
      <x:c r="F267" s="8"/>
    </x:row>
    <x:row r="268" ht="25" customHeight="1">
      <x:c r="A268" s="13" t="str">
        <x:v>☐</x:v>
      </x:c>
      <x:c r="B268" s="11" t="n">
        <x:v>267</x:v>
      </x:c>
      <x:c r="C268" s="15" t="e">
        <x:f>HYPERLINK("https://pokecottage.com/pokemon-master-sets/beautifly","Beautifly")</x:f>
        <x:v>HYPERLINK is not implemented. linkLocation=https://pokecottage.com/pokemon-master-sets/beautifly, friendlyName=Beautifly</x:v>
      </x:c>
      <x:c r="D268" s="7" t="str">
        <x:v>Gen 3 • Hoenn</x:v>
      </x:c>
      <x:c r="E268" s="7"/>
      <x:c r="F268" s="7"/>
    </x:row>
    <x:row r="269" ht="25" customHeight="1">
      <x:c r="A269" s="14" t="str">
        <x:v>☐</x:v>
      </x:c>
      <x:c r="B269" s="12" t="n">
        <x:v>268</x:v>
      </x:c>
      <x:c r="C269" s="16" t="e">
        <x:f>HYPERLINK("https://pokecottage.com/pokemon-master-sets/cascoon","Cascoon")</x:f>
        <x:v>HYPERLINK is not implemented. linkLocation=https://pokecottage.com/pokemon-master-sets/cascoon, friendlyName=Cascoon</x:v>
      </x:c>
      <x:c r="D269" s="8" t="str">
        <x:v>Gen 3 • Hoenn</x:v>
      </x:c>
      <x:c r="E269" s="8"/>
      <x:c r="F269" s="8"/>
    </x:row>
    <x:row r="270" ht="25" customHeight="1">
      <x:c r="A270" s="13" t="str">
        <x:v>☐</x:v>
      </x:c>
      <x:c r="B270" s="11" t="n">
        <x:v>269</x:v>
      </x:c>
      <x:c r="C270" s="15" t="e">
        <x:f>HYPERLINK("https://pokecottage.com/pokemon-master-sets/dustox","Dustox")</x:f>
        <x:v>HYPERLINK is not implemented. linkLocation=https://pokecottage.com/pokemon-master-sets/dustox, friendlyName=Dustox</x:v>
      </x:c>
      <x:c r="D270" s="7" t="str">
        <x:v>Gen 3 • Hoenn</x:v>
      </x:c>
      <x:c r="E270" s="7"/>
      <x:c r="F270" s="7"/>
    </x:row>
    <x:row r="271" ht="25" customHeight="1">
      <x:c r="A271" s="14" t="str">
        <x:v>☐</x:v>
      </x:c>
      <x:c r="B271" s="12" t="n">
        <x:v>270</x:v>
      </x:c>
      <x:c r="C271" s="16" t="e">
        <x:f>HYPERLINK("https://pokecottage.com/pokemon-master-sets/lotad","Lotad")</x:f>
        <x:v>HYPERLINK is not implemented. linkLocation=https://pokecottage.com/pokemon-master-sets/lotad, friendlyName=Lotad</x:v>
      </x:c>
      <x:c r="D271" s="8" t="str">
        <x:v>Gen 3 • Hoenn</x:v>
      </x:c>
      <x:c r="E271" s="8"/>
      <x:c r="F271" s="8"/>
    </x:row>
    <x:row r="272" ht="25" customHeight="1">
      <x:c r="A272" s="13" t="str">
        <x:v>☐</x:v>
      </x:c>
      <x:c r="B272" s="11" t="n">
        <x:v>271</x:v>
      </x:c>
      <x:c r="C272" s="15" t="e">
        <x:f>HYPERLINK("https://pokecottage.com/pokemon-master-sets/lombre","Lombre")</x:f>
        <x:v>HYPERLINK is not implemented. linkLocation=https://pokecottage.com/pokemon-master-sets/lombre, friendlyName=Lombre</x:v>
      </x:c>
      <x:c r="D272" s="7" t="str">
        <x:v>Gen 3 • Hoenn</x:v>
      </x:c>
      <x:c r="E272" s="7"/>
      <x:c r="F272" s="7"/>
    </x:row>
    <x:row r="273" ht="25" customHeight="1">
      <x:c r="A273" s="14" t="str">
        <x:v>☐</x:v>
      </x:c>
      <x:c r="B273" s="12" t="n">
        <x:v>272</x:v>
      </x:c>
      <x:c r="C273" s="16" t="e">
        <x:f>HYPERLINK("https://pokecottage.com/pokemon-master-sets/ludicolo","Ludicolo")</x:f>
        <x:v>HYPERLINK is not implemented. linkLocation=https://pokecottage.com/pokemon-master-sets/ludicolo, friendlyName=Ludicolo</x:v>
      </x:c>
      <x:c r="D273" s="8" t="str">
        <x:v>Gen 3 • Hoenn</x:v>
      </x:c>
      <x:c r="E273" s="8"/>
      <x:c r="F273" s="8"/>
    </x:row>
    <x:row r="274" ht="25" customHeight="1">
      <x:c r="A274" s="13" t="str">
        <x:v>☐</x:v>
      </x:c>
      <x:c r="B274" s="11" t="n">
        <x:v>273</x:v>
      </x:c>
      <x:c r="C274" s="15" t="e">
        <x:f>HYPERLINK("https://pokecottage.com/pokemon-master-sets/seedot","Seedot")</x:f>
        <x:v>HYPERLINK is not implemented. linkLocation=https://pokecottage.com/pokemon-master-sets/seedot, friendlyName=Seedot</x:v>
      </x:c>
      <x:c r="D274" s="7" t="str">
        <x:v>Gen 3 • Hoenn</x:v>
      </x:c>
      <x:c r="E274" s="7"/>
      <x:c r="F274" s="7"/>
    </x:row>
    <x:row r="275" ht="25" customHeight="1">
      <x:c r="A275" s="14" t="str">
        <x:v>☐</x:v>
      </x:c>
      <x:c r="B275" s="12" t="n">
        <x:v>274</x:v>
      </x:c>
      <x:c r="C275" s="16" t="e">
        <x:f>HYPERLINK("https://pokecottage.com/pokemon-master-sets/nuzleaf","Nuzleaf")</x:f>
        <x:v>HYPERLINK is not implemented. linkLocation=https://pokecottage.com/pokemon-master-sets/nuzleaf, friendlyName=Nuzleaf</x:v>
      </x:c>
      <x:c r="D275" s="8" t="str">
        <x:v>Gen 3 • Hoenn</x:v>
      </x:c>
      <x:c r="E275" s="8"/>
      <x:c r="F275" s="8"/>
    </x:row>
    <x:row r="276" ht="25" customHeight="1">
      <x:c r="A276" s="13" t="str">
        <x:v>☐</x:v>
      </x:c>
      <x:c r="B276" s="11" t="n">
        <x:v>275</x:v>
      </x:c>
      <x:c r="C276" s="15" t="e">
        <x:f>HYPERLINK("https://pokecottage.com/pokemon-master-sets/shiftry","Shiftry")</x:f>
        <x:v>HYPERLINK is not implemented. linkLocation=https://pokecottage.com/pokemon-master-sets/shiftry, friendlyName=Shiftry</x:v>
      </x:c>
      <x:c r="D276" s="7" t="str">
        <x:v>Gen 3 • Hoenn</x:v>
      </x:c>
      <x:c r="E276" s="7"/>
      <x:c r="F276" s="7"/>
    </x:row>
    <x:row r="277" ht="25" customHeight="1">
      <x:c r="A277" s="14" t="str">
        <x:v>☐</x:v>
      </x:c>
      <x:c r="B277" s="12" t="n">
        <x:v>276</x:v>
      </x:c>
      <x:c r="C277" s="16" t="e">
        <x:f>HYPERLINK("https://pokecottage.com/pokemon-master-sets/taillow","Taillow")</x:f>
        <x:v>HYPERLINK is not implemented. linkLocation=https://pokecottage.com/pokemon-master-sets/taillow, friendlyName=Taillow</x:v>
      </x:c>
      <x:c r="D277" s="8" t="str">
        <x:v>Gen 3 • Hoenn</x:v>
      </x:c>
      <x:c r="E277" s="8"/>
      <x:c r="F277" s="8"/>
    </x:row>
    <x:row r="278" ht="25" customHeight="1">
      <x:c r="A278" s="13" t="str">
        <x:v>☐</x:v>
      </x:c>
      <x:c r="B278" s="11" t="n">
        <x:v>277</x:v>
      </x:c>
      <x:c r="C278" s="15" t="e">
        <x:f>HYPERLINK("https://pokecottage.com/pokemon-master-sets/swellow","Swellow")</x:f>
        <x:v>HYPERLINK is not implemented. linkLocation=https://pokecottage.com/pokemon-master-sets/swellow, friendlyName=Swellow</x:v>
      </x:c>
      <x:c r="D278" s="7" t="str">
        <x:v>Gen 3 • Hoenn</x:v>
      </x:c>
      <x:c r="E278" s="7"/>
      <x:c r="F278" s="7"/>
    </x:row>
    <x:row r="279" ht="25" customHeight="1">
      <x:c r="A279" s="14" t="str">
        <x:v>☐</x:v>
      </x:c>
      <x:c r="B279" s="12" t="n">
        <x:v>278</x:v>
      </x:c>
      <x:c r="C279" s="16" t="e">
        <x:f>HYPERLINK("https://pokecottage.com/pokemon-master-sets/wingull","Wingull")</x:f>
        <x:v>HYPERLINK is not implemented. linkLocation=https://pokecottage.com/pokemon-master-sets/wingull, friendlyName=Wingull</x:v>
      </x:c>
      <x:c r="D279" s="8" t="str">
        <x:v>Gen 3 • Hoenn</x:v>
      </x:c>
      <x:c r="E279" s="8"/>
      <x:c r="F279" s="8"/>
    </x:row>
    <x:row r="280" ht="25" customHeight="1">
      <x:c r="A280" s="13" t="str">
        <x:v>☐</x:v>
      </x:c>
      <x:c r="B280" s="11" t="n">
        <x:v>279</x:v>
      </x:c>
      <x:c r="C280" s="15" t="e">
        <x:f>HYPERLINK("https://pokecottage.com/pokemon-master-sets/pelipper","Pelipper")</x:f>
        <x:v>HYPERLINK is not implemented. linkLocation=https://pokecottage.com/pokemon-master-sets/pelipper, friendlyName=Pelipper</x:v>
      </x:c>
      <x:c r="D280" s="7" t="str">
        <x:v>Gen 3 • Hoenn</x:v>
      </x:c>
      <x:c r="E280" s="7"/>
      <x:c r="F280" s="7"/>
    </x:row>
    <x:row r="281" ht="25" customHeight="1">
      <x:c r="A281" s="14" t="str">
        <x:v>☐</x:v>
      </x:c>
      <x:c r="B281" s="12" t="n">
        <x:v>280</x:v>
      </x:c>
      <x:c r="C281" s="16" t="e">
        <x:f>HYPERLINK("https://pokecottage.com/pokemon-master-sets/ralts","Ralts")</x:f>
        <x:v>HYPERLINK is not implemented. linkLocation=https://pokecottage.com/pokemon-master-sets/ralts, friendlyName=Ralts</x:v>
      </x:c>
      <x:c r="D281" s="8" t="str">
        <x:v>Gen 3 • Hoenn</x:v>
      </x:c>
      <x:c r="E281" s="8"/>
      <x:c r="F281" s="8"/>
    </x:row>
    <x:row r="282" ht="25" customHeight="1">
      <x:c r="A282" s="13" t="str">
        <x:v>☐</x:v>
      </x:c>
      <x:c r="B282" s="11" t="n">
        <x:v>281</x:v>
      </x:c>
      <x:c r="C282" s="15" t="e">
        <x:f>HYPERLINK("https://pokecottage.com/pokemon-master-sets/kirlia","Kirlia")</x:f>
        <x:v>HYPERLINK is not implemented. linkLocation=https://pokecottage.com/pokemon-master-sets/kirlia, friendlyName=Kirlia</x:v>
      </x:c>
      <x:c r="D282" s="7" t="str">
        <x:v>Gen 3 • Hoenn</x:v>
      </x:c>
      <x:c r="E282" s="7"/>
      <x:c r="F282" s="7"/>
    </x:row>
    <x:row r="283" ht="25" customHeight="1">
      <x:c r="A283" s="14" t="str">
        <x:v>☐</x:v>
      </x:c>
      <x:c r="B283" s="12" t="n">
        <x:v>282</x:v>
      </x:c>
      <x:c r="C283" s="16" t="e">
        <x:f>HYPERLINK("https://pokecottage.com/pokemon-master-sets/gardevoir","Gardevoir")</x:f>
        <x:v>HYPERLINK is not implemented. linkLocation=https://pokecottage.com/pokemon-master-sets/gardevoir, friendlyName=Gardevoir</x:v>
      </x:c>
      <x:c r="D283" s="8" t="str">
        <x:v>Gen 3 • Hoenn</x:v>
      </x:c>
      <x:c r="E283" s="8"/>
      <x:c r="F283" s="8"/>
    </x:row>
    <x:row r="284" ht="25" customHeight="1">
      <x:c r="A284" s="13" t="str">
        <x:v>☐</x:v>
      </x:c>
      <x:c r="B284" s="11" t="n">
        <x:v>283</x:v>
      </x:c>
      <x:c r="C284" s="15" t="e">
        <x:f>HYPERLINK("https://pokecottage.com/pokemon-master-sets/surskit","Surskit")</x:f>
        <x:v>HYPERLINK is not implemented. linkLocation=https://pokecottage.com/pokemon-master-sets/surskit, friendlyName=Surskit</x:v>
      </x:c>
      <x:c r="D284" s="7" t="str">
        <x:v>Gen 3 • Hoenn</x:v>
      </x:c>
      <x:c r="E284" s="7"/>
      <x:c r="F284" s="7"/>
    </x:row>
    <x:row r="285" ht="25" customHeight="1">
      <x:c r="A285" s="14" t="str">
        <x:v>☐</x:v>
      </x:c>
      <x:c r="B285" s="12" t="n">
        <x:v>284</x:v>
      </x:c>
      <x:c r="C285" s="16" t="e">
        <x:f>HYPERLINK("https://pokecottage.com/pokemon-master-sets/masquerain","Masquerain")</x:f>
        <x:v>HYPERLINK is not implemented. linkLocation=https://pokecottage.com/pokemon-master-sets/masquerain, friendlyName=Masquerain</x:v>
      </x:c>
      <x:c r="D285" s="8" t="str">
        <x:v>Gen 3 • Hoenn</x:v>
      </x:c>
      <x:c r="E285" s="8"/>
      <x:c r="F285" s="8"/>
    </x:row>
    <x:row r="286" ht="25" customHeight="1">
      <x:c r="A286" s="13" t="str">
        <x:v>☐</x:v>
      </x:c>
      <x:c r="B286" s="11" t="n">
        <x:v>285</x:v>
      </x:c>
      <x:c r="C286" s="15" t="e">
        <x:f>HYPERLINK("https://pokecottage.com/pokemon-master-sets/shroomish","Shroomish")</x:f>
        <x:v>HYPERLINK is not implemented. linkLocation=https://pokecottage.com/pokemon-master-sets/shroomish, friendlyName=Shroomish</x:v>
      </x:c>
      <x:c r="D286" s="7" t="str">
        <x:v>Gen 3 • Hoenn</x:v>
      </x:c>
      <x:c r="E286" s="7"/>
      <x:c r="F286" s="7"/>
    </x:row>
    <x:row r="287" ht="25" customHeight="1">
      <x:c r="A287" s="14" t="str">
        <x:v>☐</x:v>
      </x:c>
      <x:c r="B287" s="12" t="n">
        <x:v>286</x:v>
      </x:c>
      <x:c r="C287" s="16" t="e">
        <x:f>HYPERLINK("https://pokecottage.com/pokemon-master-sets/breloom","Breloom")</x:f>
        <x:v>HYPERLINK is not implemented. linkLocation=https://pokecottage.com/pokemon-master-sets/breloom, friendlyName=Breloom</x:v>
      </x:c>
      <x:c r="D287" s="8" t="str">
        <x:v>Gen 3 • Hoenn</x:v>
      </x:c>
      <x:c r="E287" s="8"/>
      <x:c r="F287" s="8"/>
    </x:row>
    <x:row r="288" ht="25" customHeight="1">
      <x:c r="A288" s="13" t="str">
        <x:v>☐</x:v>
      </x:c>
      <x:c r="B288" s="11" t="n">
        <x:v>287</x:v>
      </x:c>
      <x:c r="C288" s="15" t="e">
        <x:f>HYPERLINK("https://pokecottage.com/pokemon-master-sets/slakoth","Slakoth")</x:f>
        <x:v>HYPERLINK is not implemented. linkLocation=https://pokecottage.com/pokemon-master-sets/slakoth, friendlyName=Slakoth</x:v>
      </x:c>
      <x:c r="D288" s="7" t="str">
        <x:v>Gen 3 • Hoenn</x:v>
      </x:c>
      <x:c r="E288" s="7"/>
      <x:c r="F288" s="7"/>
    </x:row>
    <x:row r="289" ht="25" customHeight="1">
      <x:c r="A289" s="14" t="str">
        <x:v>☐</x:v>
      </x:c>
      <x:c r="B289" s="12" t="n">
        <x:v>288</x:v>
      </x:c>
      <x:c r="C289" s="16" t="e">
        <x:f>HYPERLINK("https://pokecottage.com/pokemon-master-sets/vigoroth","Vigoroth")</x:f>
        <x:v>HYPERLINK is not implemented. linkLocation=https://pokecottage.com/pokemon-master-sets/vigoroth, friendlyName=Vigoroth</x:v>
      </x:c>
      <x:c r="D289" s="8" t="str">
        <x:v>Gen 3 • Hoenn</x:v>
      </x:c>
      <x:c r="E289" s="8"/>
      <x:c r="F289" s="8"/>
    </x:row>
    <x:row r="290" ht="25" customHeight="1">
      <x:c r="A290" s="13" t="str">
        <x:v>☐</x:v>
      </x:c>
      <x:c r="B290" s="11" t="n">
        <x:v>289</x:v>
      </x:c>
      <x:c r="C290" s="15" t="e">
        <x:f>HYPERLINK("https://pokecottage.com/pokemon-master-sets/slaking","Slaking")</x:f>
        <x:v>HYPERLINK is not implemented. linkLocation=https://pokecottage.com/pokemon-master-sets/slaking, friendlyName=Slaking</x:v>
      </x:c>
      <x:c r="D290" s="7" t="str">
        <x:v>Gen 3 • Hoenn</x:v>
      </x:c>
      <x:c r="E290" s="7"/>
      <x:c r="F290" s="7"/>
    </x:row>
    <x:row r="291" ht="25" customHeight="1">
      <x:c r="A291" s="14" t="str">
        <x:v>☐</x:v>
      </x:c>
      <x:c r="B291" s="12" t="n">
        <x:v>290</x:v>
      </x:c>
      <x:c r="C291" s="16" t="e">
        <x:f>HYPERLINK("https://pokecottage.com/pokemon-master-sets/nincada","Nincada")</x:f>
        <x:v>HYPERLINK is not implemented. linkLocation=https://pokecottage.com/pokemon-master-sets/nincada, friendlyName=Nincada</x:v>
      </x:c>
      <x:c r="D291" s="8" t="str">
        <x:v>Gen 3 • Hoenn</x:v>
      </x:c>
      <x:c r="E291" s="8"/>
      <x:c r="F291" s="8"/>
    </x:row>
    <x:row r="292" ht="25" customHeight="1">
      <x:c r="A292" s="13" t="str">
        <x:v>☐</x:v>
      </x:c>
      <x:c r="B292" s="11" t="n">
        <x:v>291</x:v>
      </x:c>
      <x:c r="C292" s="15" t="e">
        <x:f>HYPERLINK("https://pokecottage.com/pokemon-master-sets/ninjask","Ninjask")</x:f>
        <x:v>HYPERLINK is not implemented. linkLocation=https://pokecottage.com/pokemon-master-sets/ninjask, friendlyName=Ninjask</x:v>
      </x:c>
      <x:c r="D292" s="7" t="str">
        <x:v>Gen 3 • Hoenn</x:v>
      </x:c>
      <x:c r="E292" s="7"/>
      <x:c r="F292" s="7"/>
    </x:row>
    <x:row r="293" ht="25" customHeight="1">
      <x:c r="A293" s="14" t="str">
        <x:v>☐</x:v>
      </x:c>
      <x:c r="B293" s="12" t="n">
        <x:v>292</x:v>
      </x:c>
      <x:c r="C293" s="16" t="e">
        <x:f>HYPERLINK("https://pokecottage.com/pokemon-master-sets/shedinja","Shedinja")</x:f>
        <x:v>HYPERLINK is not implemented. linkLocation=https://pokecottage.com/pokemon-master-sets/shedinja, friendlyName=Shedinja</x:v>
      </x:c>
      <x:c r="D293" s="8" t="str">
        <x:v>Gen 3 • Hoenn</x:v>
      </x:c>
      <x:c r="E293" s="8"/>
      <x:c r="F293" s="8"/>
    </x:row>
    <x:row r="294" ht="25" customHeight="1">
      <x:c r="A294" s="13" t="str">
        <x:v>☐</x:v>
      </x:c>
      <x:c r="B294" s="11" t="n">
        <x:v>293</x:v>
      </x:c>
      <x:c r="C294" s="15" t="e">
        <x:f>HYPERLINK("https://pokecottage.com/pokemon-master-sets/whismur","Whismur")</x:f>
        <x:v>HYPERLINK is not implemented. linkLocation=https://pokecottage.com/pokemon-master-sets/whismur, friendlyName=Whismur</x:v>
      </x:c>
      <x:c r="D294" s="7" t="str">
        <x:v>Gen 3 • Hoenn</x:v>
      </x:c>
      <x:c r="E294" s="7"/>
      <x:c r="F294" s="7"/>
    </x:row>
    <x:row r="295" ht="25" customHeight="1">
      <x:c r="A295" s="14" t="str">
        <x:v>☐</x:v>
      </x:c>
      <x:c r="B295" s="12" t="n">
        <x:v>294</x:v>
      </x:c>
      <x:c r="C295" s="16" t="e">
        <x:f>HYPERLINK("https://pokecottage.com/pokemon-master-sets/loudred","Loudred")</x:f>
        <x:v>HYPERLINK is not implemented. linkLocation=https://pokecottage.com/pokemon-master-sets/loudred, friendlyName=Loudred</x:v>
      </x:c>
      <x:c r="D295" s="8" t="str">
        <x:v>Gen 3 • Hoenn</x:v>
      </x:c>
      <x:c r="E295" s="8"/>
      <x:c r="F295" s="8"/>
    </x:row>
    <x:row r="296" ht="25" customHeight="1">
      <x:c r="A296" s="13" t="str">
        <x:v>☐</x:v>
      </x:c>
      <x:c r="B296" s="11" t="n">
        <x:v>295</x:v>
      </x:c>
      <x:c r="C296" s="15" t="e">
        <x:f>HYPERLINK("https://pokecottage.com/pokemon-master-sets/exploud","Exploud")</x:f>
        <x:v>HYPERLINK is not implemented. linkLocation=https://pokecottage.com/pokemon-master-sets/exploud, friendlyName=Exploud</x:v>
      </x:c>
      <x:c r="D296" s="7" t="str">
        <x:v>Gen 3 • Hoenn</x:v>
      </x:c>
      <x:c r="E296" s="7"/>
      <x:c r="F296" s="7"/>
    </x:row>
    <x:row r="297" ht="25" customHeight="1">
      <x:c r="A297" s="14" t="str">
        <x:v>☐</x:v>
      </x:c>
      <x:c r="B297" s="12" t="n">
        <x:v>296</x:v>
      </x:c>
      <x:c r="C297" s="16" t="e">
        <x:f>HYPERLINK("https://pokecottage.com/pokemon-master-sets/makuhita","Makuhita")</x:f>
        <x:v>HYPERLINK is not implemented. linkLocation=https://pokecottage.com/pokemon-master-sets/makuhita, friendlyName=Makuhita</x:v>
      </x:c>
      <x:c r="D297" s="8" t="str">
        <x:v>Gen 3 • Hoenn</x:v>
      </x:c>
      <x:c r="E297" s="8"/>
      <x:c r="F297" s="8"/>
    </x:row>
    <x:row r="298" ht="25" customHeight="1">
      <x:c r="A298" s="13" t="str">
        <x:v>☐</x:v>
      </x:c>
      <x:c r="B298" s="11" t="n">
        <x:v>297</x:v>
      </x:c>
      <x:c r="C298" s="15" t="e">
        <x:f>HYPERLINK("https://pokecottage.com/pokemon-master-sets/hariyama","Hariyama")</x:f>
        <x:v>HYPERLINK is not implemented. linkLocation=https://pokecottage.com/pokemon-master-sets/hariyama, friendlyName=Hariyama</x:v>
      </x:c>
      <x:c r="D298" s="7" t="str">
        <x:v>Gen 3 • Hoenn</x:v>
      </x:c>
      <x:c r="E298" s="7"/>
      <x:c r="F298" s="7"/>
    </x:row>
    <x:row r="299" ht="25" customHeight="1">
      <x:c r="A299" s="14" t="str">
        <x:v>☐</x:v>
      </x:c>
      <x:c r="B299" s="12" t="n">
        <x:v>298</x:v>
      </x:c>
      <x:c r="C299" s="16" t="e">
        <x:f>HYPERLINK("https://pokecottage.com/pokemon-master-sets/azurill","Azurill")</x:f>
        <x:v>HYPERLINK is not implemented. linkLocation=https://pokecottage.com/pokemon-master-sets/azurill, friendlyName=Azurill</x:v>
      </x:c>
      <x:c r="D299" s="8" t="str">
        <x:v>Gen 3 • Hoenn</x:v>
      </x:c>
      <x:c r="E299" s="8"/>
      <x:c r="F299" s="8"/>
    </x:row>
    <x:row r="300" ht="25" customHeight="1">
      <x:c r="A300" s="13" t="str">
        <x:v>☐</x:v>
      </x:c>
      <x:c r="B300" s="11" t="n">
        <x:v>299</x:v>
      </x:c>
      <x:c r="C300" s="15" t="e">
        <x:f>HYPERLINK("https://pokecottage.com/pokemon-master-sets/nosepass","Nosepass")</x:f>
        <x:v>HYPERLINK is not implemented. linkLocation=https://pokecottage.com/pokemon-master-sets/nosepass, friendlyName=Nosepass</x:v>
      </x:c>
      <x:c r="D300" s="7" t="str">
        <x:v>Gen 3 • Hoenn</x:v>
      </x:c>
      <x:c r="E300" s="7"/>
      <x:c r="F300" s="7"/>
    </x:row>
    <x:row r="301" ht="25" customHeight="1">
      <x:c r="A301" s="14" t="str">
        <x:v>☐</x:v>
      </x:c>
      <x:c r="B301" s="12" t="n">
        <x:v>300</x:v>
      </x:c>
      <x:c r="C301" s="16" t="e">
        <x:f>HYPERLINK("https://pokecottage.com/pokemon-master-sets/skitty","Skitty")</x:f>
        <x:v>HYPERLINK is not implemented. linkLocation=https://pokecottage.com/pokemon-master-sets/skitty, friendlyName=Skitty</x:v>
      </x:c>
      <x:c r="D301" s="8" t="str">
        <x:v>Gen 3 • Hoenn</x:v>
      </x:c>
      <x:c r="E301" s="8"/>
      <x:c r="F301" s="8"/>
    </x:row>
    <x:row r="302" ht="25" customHeight="1">
      <x:c r="A302" s="13" t="str">
        <x:v>☐</x:v>
      </x:c>
      <x:c r="B302" s="11" t="n">
        <x:v>301</x:v>
      </x:c>
      <x:c r="C302" s="15" t="e">
        <x:f>HYPERLINK("https://pokecottage.com/pokemon-master-sets/delcatty","Delcatty")</x:f>
        <x:v>HYPERLINK is not implemented. linkLocation=https://pokecottage.com/pokemon-master-sets/delcatty, friendlyName=Delcatty</x:v>
      </x:c>
      <x:c r="D302" s="7" t="str">
        <x:v>Gen 3 • Hoenn</x:v>
      </x:c>
      <x:c r="E302" s="7"/>
      <x:c r="F302" s="7"/>
    </x:row>
    <x:row r="303" ht="25" customHeight="1">
      <x:c r="A303" s="14" t="str">
        <x:v>☐</x:v>
      </x:c>
      <x:c r="B303" s="12" t="n">
        <x:v>302</x:v>
      </x:c>
      <x:c r="C303" s="16" t="e">
        <x:f>HYPERLINK("https://pokecottage.com/pokemon-master-sets/sableye","Sableye")</x:f>
        <x:v>HYPERLINK is not implemented. linkLocation=https://pokecottage.com/pokemon-master-sets/sableye, friendlyName=Sableye</x:v>
      </x:c>
      <x:c r="D303" s="8" t="str">
        <x:v>Gen 3 • Hoenn</x:v>
      </x:c>
      <x:c r="E303" s="8"/>
      <x:c r="F303" s="8"/>
    </x:row>
    <x:row r="304" ht="25" customHeight="1">
      <x:c r="A304" s="13" t="str">
        <x:v>☐</x:v>
      </x:c>
      <x:c r="B304" s="11" t="n">
        <x:v>303</x:v>
      </x:c>
      <x:c r="C304" s="15" t="e">
        <x:f>HYPERLINK("https://pokecottage.com/pokemon-master-sets/mawile","Mawile")</x:f>
        <x:v>HYPERLINK is not implemented. linkLocation=https://pokecottage.com/pokemon-master-sets/mawile, friendlyName=Mawile</x:v>
      </x:c>
      <x:c r="D304" s="7" t="str">
        <x:v>Gen 3 • Hoenn</x:v>
      </x:c>
      <x:c r="E304" s="7"/>
      <x:c r="F304" s="7"/>
    </x:row>
    <x:row r="305" ht="25" customHeight="1">
      <x:c r="A305" s="14" t="str">
        <x:v>☐</x:v>
      </x:c>
      <x:c r="B305" s="12" t="n">
        <x:v>304</x:v>
      </x:c>
      <x:c r="C305" s="16" t="e">
        <x:f>HYPERLINK("https://pokecottage.com/pokemon-master-sets/aron","Aron")</x:f>
        <x:v>HYPERLINK is not implemented. linkLocation=https://pokecottage.com/pokemon-master-sets/aron, friendlyName=Aron</x:v>
      </x:c>
      <x:c r="D305" s="8" t="str">
        <x:v>Gen 3 • Hoenn</x:v>
      </x:c>
      <x:c r="E305" s="8"/>
      <x:c r="F305" s="8"/>
    </x:row>
    <x:row r="306" ht="25" customHeight="1">
      <x:c r="A306" s="13" t="str">
        <x:v>☐</x:v>
      </x:c>
      <x:c r="B306" s="11" t="n">
        <x:v>305</x:v>
      </x:c>
      <x:c r="C306" s="15" t="e">
        <x:f>HYPERLINK("https://pokecottage.com/pokemon-master-sets/lairon","Lairon")</x:f>
        <x:v>HYPERLINK is not implemented. linkLocation=https://pokecottage.com/pokemon-master-sets/lairon, friendlyName=Lairon</x:v>
      </x:c>
      <x:c r="D306" s="7" t="str">
        <x:v>Gen 3 • Hoenn</x:v>
      </x:c>
      <x:c r="E306" s="7"/>
      <x:c r="F306" s="7"/>
    </x:row>
    <x:row r="307" ht="25" customHeight="1">
      <x:c r="A307" s="14" t="str">
        <x:v>☐</x:v>
      </x:c>
      <x:c r="B307" s="12" t="n">
        <x:v>306</x:v>
      </x:c>
      <x:c r="C307" s="16" t="e">
        <x:f>HYPERLINK("https://pokecottage.com/pokemon-master-sets/aggron","Aggron")</x:f>
        <x:v>HYPERLINK is not implemented. linkLocation=https://pokecottage.com/pokemon-master-sets/aggron, friendlyName=Aggron</x:v>
      </x:c>
      <x:c r="D307" s="8" t="str">
        <x:v>Gen 3 • Hoenn</x:v>
      </x:c>
      <x:c r="E307" s="8"/>
      <x:c r="F307" s="8"/>
    </x:row>
    <x:row r="308" ht="25" customHeight="1">
      <x:c r="A308" s="13" t="str">
        <x:v>☐</x:v>
      </x:c>
      <x:c r="B308" s="11" t="n">
        <x:v>307</x:v>
      </x:c>
      <x:c r="C308" s="15" t="e">
        <x:f>HYPERLINK("https://pokecottage.com/pokemon-master-sets/meditite","Meditite")</x:f>
        <x:v>HYPERLINK is not implemented. linkLocation=https://pokecottage.com/pokemon-master-sets/meditite, friendlyName=Meditite</x:v>
      </x:c>
      <x:c r="D308" s="7" t="str">
        <x:v>Gen 3 • Hoenn</x:v>
      </x:c>
      <x:c r="E308" s="7"/>
      <x:c r="F308" s="7"/>
    </x:row>
    <x:row r="309" ht="25" customHeight="1">
      <x:c r="A309" s="14" t="str">
        <x:v>☐</x:v>
      </x:c>
      <x:c r="B309" s="12" t="n">
        <x:v>308</x:v>
      </x:c>
      <x:c r="C309" s="16" t="e">
        <x:f>HYPERLINK("https://pokecottage.com/pokemon-master-sets/medicham","Medicham")</x:f>
        <x:v>HYPERLINK is not implemented. linkLocation=https://pokecottage.com/pokemon-master-sets/medicham, friendlyName=Medicham</x:v>
      </x:c>
      <x:c r="D309" s="8" t="str">
        <x:v>Gen 3 • Hoenn</x:v>
      </x:c>
      <x:c r="E309" s="8"/>
      <x:c r="F309" s="8"/>
    </x:row>
    <x:row r="310" ht="25" customHeight="1">
      <x:c r="A310" s="13" t="str">
        <x:v>☐</x:v>
      </x:c>
      <x:c r="B310" s="11" t="n">
        <x:v>309</x:v>
      </x:c>
      <x:c r="C310" s="15" t="e">
        <x:f>HYPERLINK("https://pokecottage.com/pokemon-master-sets/electrike","Electrike")</x:f>
        <x:v>HYPERLINK is not implemented. linkLocation=https://pokecottage.com/pokemon-master-sets/electrike, friendlyName=Electrike</x:v>
      </x:c>
      <x:c r="D310" s="7" t="str">
        <x:v>Gen 3 • Hoenn</x:v>
      </x:c>
      <x:c r="E310" s="7"/>
      <x:c r="F310" s="7"/>
    </x:row>
    <x:row r="311" ht="25" customHeight="1">
      <x:c r="A311" s="14" t="str">
        <x:v>☐</x:v>
      </x:c>
      <x:c r="B311" s="12" t="n">
        <x:v>310</x:v>
      </x:c>
      <x:c r="C311" s="16" t="e">
        <x:f>HYPERLINK("https://pokecottage.com/pokemon-master-sets/manectric","Manectric")</x:f>
        <x:v>HYPERLINK is not implemented. linkLocation=https://pokecottage.com/pokemon-master-sets/manectric, friendlyName=Manectric</x:v>
      </x:c>
      <x:c r="D311" s="8" t="str">
        <x:v>Gen 3 • Hoenn</x:v>
      </x:c>
      <x:c r="E311" s="8"/>
      <x:c r="F311" s="8"/>
    </x:row>
    <x:row r="312" ht="25" customHeight="1">
      <x:c r="A312" s="13" t="str">
        <x:v>☐</x:v>
      </x:c>
      <x:c r="B312" s="11" t="n">
        <x:v>311</x:v>
      </x:c>
      <x:c r="C312" s="15" t="e">
        <x:f>HYPERLINK("https://pokecottage.com/pokemon-master-sets/plusle","Plusle")</x:f>
        <x:v>HYPERLINK is not implemented. linkLocation=https://pokecottage.com/pokemon-master-sets/plusle, friendlyName=Plusle</x:v>
      </x:c>
      <x:c r="D312" s="7" t="str">
        <x:v>Gen 3 • Hoenn</x:v>
      </x:c>
      <x:c r="E312" s="7"/>
      <x:c r="F312" s="7"/>
    </x:row>
    <x:row r="313" ht="25" customHeight="1">
      <x:c r="A313" s="14" t="str">
        <x:v>☐</x:v>
      </x:c>
      <x:c r="B313" s="12" t="n">
        <x:v>312</x:v>
      </x:c>
      <x:c r="C313" s="16" t="e">
        <x:f>HYPERLINK("https://pokecottage.com/pokemon-master-sets/minun","Minun")</x:f>
        <x:v>HYPERLINK is not implemented. linkLocation=https://pokecottage.com/pokemon-master-sets/minun, friendlyName=Minun</x:v>
      </x:c>
      <x:c r="D313" s="8" t="str">
        <x:v>Gen 3 • Hoenn</x:v>
      </x:c>
      <x:c r="E313" s="8"/>
      <x:c r="F313" s="8"/>
    </x:row>
    <x:row r="314" ht="25" customHeight="1">
      <x:c r="A314" s="13" t="str">
        <x:v>☐</x:v>
      </x:c>
      <x:c r="B314" s="11" t="n">
        <x:v>313</x:v>
      </x:c>
      <x:c r="C314" s="15" t="e">
        <x:f>HYPERLINK("https://pokecottage.com/pokemon-master-sets/volbeat","Volbeat")</x:f>
        <x:v>HYPERLINK is not implemented. linkLocation=https://pokecottage.com/pokemon-master-sets/volbeat, friendlyName=Volbeat</x:v>
      </x:c>
      <x:c r="D314" s="7" t="str">
        <x:v>Gen 3 • Hoenn</x:v>
      </x:c>
      <x:c r="E314" s="7"/>
      <x:c r="F314" s="7"/>
    </x:row>
    <x:row r="315" ht="25" customHeight="1">
      <x:c r="A315" s="14" t="str">
        <x:v>☐</x:v>
      </x:c>
      <x:c r="B315" s="12" t="n">
        <x:v>314</x:v>
      </x:c>
      <x:c r="C315" s="16" t="e">
        <x:f>HYPERLINK("https://pokecottage.com/pokemon-master-sets/illumise","Illumise")</x:f>
        <x:v>HYPERLINK is not implemented. linkLocation=https://pokecottage.com/pokemon-master-sets/illumise, friendlyName=Illumise</x:v>
      </x:c>
      <x:c r="D315" s="8" t="str">
        <x:v>Gen 3 • Hoenn</x:v>
      </x:c>
      <x:c r="E315" s="8"/>
      <x:c r="F315" s="8"/>
    </x:row>
    <x:row r="316" ht="25" customHeight="1">
      <x:c r="A316" s="13" t="str">
        <x:v>☐</x:v>
      </x:c>
      <x:c r="B316" s="11" t="n">
        <x:v>315</x:v>
      </x:c>
      <x:c r="C316" s="15" t="e">
        <x:f>HYPERLINK("https://pokecottage.com/pokemon-master-sets/roselia","Roselia")</x:f>
        <x:v>HYPERLINK is not implemented. linkLocation=https://pokecottage.com/pokemon-master-sets/roselia, friendlyName=Roselia</x:v>
      </x:c>
      <x:c r="D316" s="7" t="str">
        <x:v>Gen 3 • Hoenn</x:v>
      </x:c>
      <x:c r="E316" s="7"/>
      <x:c r="F316" s="7"/>
    </x:row>
    <x:row r="317" ht="25" customHeight="1">
      <x:c r="A317" s="14" t="str">
        <x:v>☐</x:v>
      </x:c>
      <x:c r="B317" s="12" t="n">
        <x:v>316</x:v>
      </x:c>
      <x:c r="C317" s="16" t="e">
        <x:f>HYPERLINK("https://pokecottage.com/pokemon-master-sets/gulpin","Gulpin")</x:f>
        <x:v>HYPERLINK is not implemented. linkLocation=https://pokecottage.com/pokemon-master-sets/gulpin, friendlyName=Gulpin</x:v>
      </x:c>
      <x:c r="D317" s="8" t="str">
        <x:v>Gen 3 • Hoenn</x:v>
      </x:c>
      <x:c r="E317" s="8"/>
      <x:c r="F317" s="8"/>
    </x:row>
    <x:row r="318" ht="25" customHeight="1">
      <x:c r="A318" s="13" t="str">
        <x:v>☐</x:v>
      </x:c>
      <x:c r="B318" s="11" t="n">
        <x:v>317</x:v>
      </x:c>
      <x:c r="C318" s="15" t="e">
        <x:f>HYPERLINK("https://pokecottage.com/pokemon-master-sets/swalot","Swalot")</x:f>
        <x:v>HYPERLINK is not implemented. linkLocation=https://pokecottage.com/pokemon-master-sets/swalot, friendlyName=Swalot</x:v>
      </x:c>
      <x:c r="D318" s="7" t="str">
        <x:v>Gen 3 • Hoenn</x:v>
      </x:c>
      <x:c r="E318" s="7"/>
      <x:c r="F318" s="7"/>
    </x:row>
    <x:row r="319" ht="25" customHeight="1">
      <x:c r="A319" s="14" t="str">
        <x:v>☐</x:v>
      </x:c>
      <x:c r="B319" s="12" t="n">
        <x:v>318</x:v>
      </x:c>
      <x:c r="C319" s="16" t="e">
        <x:f>HYPERLINK("https://pokecottage.com/pokemon-master-sets/carvanha","Carvanha")</x:f>
        <x:v>HYPERLINK is not implemented. linkLocation=https://pokecottage.com/pokemon-master-sets/carvanha, friendlyName=Carvanha</x:v>
      </x:c>
      <x:c r="D319" s="8" t="str">
        <x:v>Gen 3 • Hoenn</x:v>
      </x:c>
      <x:c r="E319" s="8"/>
      <x:c r="F319" s="8"/>
    </x:row>
    <x:row r="320" ht="25" customHeight="1">
      <x:c r="A320" s="13" t="str">
        <x:v>☐</x:v>
      </x:c>
      <x:c r="B320" s="11" t="n">
        <x:v>319</x:v>
      </x:c>
      <x:c r="C320" s="15" t="e">
        <x:f>HYPERLINK("https://pokecottage.com/pokemon-master-sets/sharpedo","Sharpedo")</x:f>
        <x:v>HYPERLINK is not implemented. linkLocation=https://pokecottage.com/pokemon-master-sets/sharpedo, friendlyName=Sharpedo</x:v>
      </x:c>
      <x:c r="D320" s="7" t="str">
        <x:v>Gen 3 • Hoenn</x:v>
      </x:c>
      <x:c r="E320" s="7"/>
      <x:c r="F320" s="7"/>
    </x:row>
    <x:row r="321" ht="25" customHeight="1">
      <x:c r="A321" s="14" t="str">
        <x:v>☐</x:v>
      </x:c>
      <x:c r="B321" s="12" t="n">
        <x:v>320</x:v>
      </x:c>
      <x:c r="C321" s="16" t="e">
        <x:f>HYPERLINK("https://pokecottage.com/pokemon-master-sets/wailmer","Wailmer")</x:f>
        <x:v>HYPERLINK is not implemented. linkLocation=https://pokecottage.com/pokemon-master-sets/wailmer, friendlyName=Wailmer</x:v>
      </x:c>
      <x:c r="D321" s="8" t="str">
        <x:v>Gen 3 • Hoenn</x:v>
      </x:c>
      <x:c r="E321" s="8"/>
      <x:c r="F321" s="8"/>
    </x:row>
    <x:row r="322" ht="25" customHeight="1">
      <x:c r="A322" s="13" t="str">
        <x:v>☐</x:v>
      </x:c>
      <x:c r="B322" s="11" t="n">
        <x:v>321</x:v>
      </x:c>
      <x:c r="C322" s="15" t="e">
        <x:f>HYPERLINK("https://pokecottage.com/pokemon-master-sets/wailord","Wailord")</x:f>
        <x:v>HYPERLINK is not implemented. linkLocation=https://pokecottage.com/pokemon-master-sets/wailord, friendlyName=Wailord</x:v>
      </x:c>
      <x:c r="D322" s="7" t="str">
        <x:v>Gen 3 • Hoenn</x:v>
      </x:c>
      <x:c r="E322" s="7"/>
      <x:c r="F322" s="7"/>
    </x:row>
    <x:row r="323" ht="25" customHeight="1">
      <x:c r="A323" s="14" t="str">
        <x:v>☐</x:v>
      </x:c>
      <x:c r="B323" s="12" t="n">
        <x:v>322</x:v>
      </x:c>
      <x:c r="C323" s="16" t="e">
        <x:f>HYPERLINK("https://pokecottage.com/pokemon-master-sets/numel","Numel")</x:f>
        <x:v>HYPERLINK is not implemented. linkLocation=https://pokecottage.com/pokemon-master-sets/numel, friendlyName=Numel</x:v>
      </x:c>
      <x:c r="D323" s="8" t="str">
        <x:v>Gen 3 • Hoenn</x:v>
      </x:c>
      <x:c r="E323" s="8"/>
      <x:c r="F323" s="8"/>
    </x:row>
    <x:row r="324" ht="25" customHeight="1">
      <x:c r="A324" s="13" t="str">
        <x:v>☐</x:v>
      </x:c>
      <x:c r="B324" s="11" t="n">
        <x:v>323</x:v>
      </x:c>
      <x:c r="C324" s="15" t="e">
        <x:f>HYPERLINK("https://pokecottage.com/pokemon-master-sets/camerupt","Camerupt")</x:f>
        <x:v>HYPERLINK is not implemented. linkLocation=https://pokecottage.com/pokemon-master-sets/camerupt, friendlyName=Camerupt</x:v>
      </x:c>
      <x:c r="D324" s="7" t="str">
        <x:v>Gen 3 • Hoenn</x:v>
      </x:c>
      <x:c r="E324" s="7"/>
      <x:c r="F324" s="7"/>
    </x:row>
    <x:row r="325" ht="25" customHeight="1">
      <x:c r="A325" s="14" t="str">
        <x:v>☐</x:v>
      </x:c>
      <x:c r="B325" s="12" t="n">
        <x:v>324</x:v>
      </x:c>
      <x:c r="C325" s="16" t="e">
        <x:f>HYPERLINK("https://pokecottage.com/pokemon-master-sets/torkoal","Torkoal")</x:f>
        <x:v>HYPERLINK is not implemented. linkLocation=https://pokecottage.com/pokemon-master-sets/torkoal, friendlyName=Torkoal</x:v>
      </x:c>
      <x:c r="D325" s="8" t="str">
        <x:v>Gen 3 • Hoenn</x:v>
      </x:c>
      <x:c r="E325" s="8"/>
      <x:c r="F325" s="8"/>
    </x:row>
    <x:row r="326" ht="25" customHeight="1">
      <x:c r="A326" s="13" t="str">
        <x:v>☐</x:v>
      </x:c>
      <x:c r="B326" s="11" t="n">
        <x:v>325</x:v>
      </x:c>
      <x:c r="C326" s="15" t="e">
        <x:f>HYPERLINK("https://pokecottage.com/pokemon-master-sets/spoink","Spoink")</x:f>
        <x:v>HYPERLINK is not implemented. linkLocation=https://pokecottage.com/pokemon-master-sets/spoink, friendlyName=Spoink</x:v>
      </x:c>
      <x:c r="D326" s="7" t="str">
        <x:v>Gen 3 • Hoenn</x:v>
      </x:c>
      <x:c r="E326" s="7"/>
      <x:c r="F326" s="7"/>
    </x:row>
    <x:row r="327" ht="25" customHeight="1">
      <x:c r="A327" s="14" t="str">
        <x:v>☐</x:v>
      </x:c>
      <x:c r="B327" s="12" t="n">
        <x:v>326</x:v>
      </x:c>
      <x:c r="C327" s="16" t="e">
        <x:f>HYPERLINK("https://pokecottage.com/pokemon-master-sets/grumpig","Grumpig")</x:f>
        <x:v>HYPERLINK is not implemented. linkLocation=https://pokecottage.com/pokemon-master-sets/grumpig, friendlyName=Grumpig</x:v>
      </x:c>
      <x:c r="D327" s="8" t="str">
        <x:v>Gen 3 • Hoenn</x:v>
      </x:c>
      <x:c r="E327" s="8"/>
      <x:c r="F327" s="8"/>
    </x:row>
    <x:row r="328" ht="25" customHeight="1">
      <x:c r="A328" s="13" t="str">
        <x:v>☐</x:v>
      </x:c>
      <x:c r="B328" s="11" t="n">
        <x:v>327</x:v>
      </x:c>
      <x:c r="C328" s="15" t="e">
        <x:f>HYPERLINK("https://pokecottage.com/pokemon-master-sets/spinda","Spinda")</x:f>
        <x:v>HYPERLINK is not implemented. linkLocation=https://pokecottage.com/pokemon-master-sets/spinda, friendlyName=Spinda</x:v>
      </x:c>
      <x:c r="D328" s="7" t="str">
        <x:v>Gen 3 • Hoenn</x:v>
      </x:c>
      <x:c r="E328" s="7"/>
      <x:c r="F328" s="7"/>
    </x:row>
    <x:row r="329" ht="25" customHeight="1">
      <x:c r="A329" s="14" t="str">
        <x:v>☐</x:v>
      </x:c>
      <x:c r="B329" s="12" t="n">
        <x:v>328</x:v>
      </x:c>
      <x:c r="C329" s="16" t="e">
        <x:f>HYPERLINK("https://pokecottage.com/pokemon-master-sets/trapinch","Trapinch")</x:f>
        <x:v>HYPERLINK is not implemented. linkLocation=https://pokecottage.com/pokemon-master-sets/trapinch, friendlyName=Trapinch</x:v>
      </x:c>
      <x:c r="D329" s="8" t="str">
        <x:v>Gen 3 • Hoenn</x:v>
      </x:c>
      <x:c r="E329" s="8"/>
      <x:c r="F329" s="8"/>
    </x:row>
    <x:row r="330" ht="25" customHeight="1">
      <x:c r="A330" s="13" t="str">
        <x:v>☐</x:v>
      </x:c>
      <x:c r="B330" s="11" t="n">
        <x:v>329</x:v>
      </x:c>
      <x:c r="C330" s="15" t="e">
        <x:f>HYPERLINK("https://pokecottage.com/pokemon-master-sets/vibrava","Vibrava")</x:f>
        <x:v>HYPERLINK is not implemented. linkLocation=https://pokecottage.com/pokemon-master-sets/vibrava, friendlyName=Vibrava</x:v>
      </x:c>
      <x:c r="D330" s="7" t="str">
        <x:v>Gen 3 • Hoenn</x:v>
      </x:c>
      <x:c r="E330" s="7"/>
      <x:c r="F330" s="7"/>
    </x:row>
    <x:row r="331" ht="25" customHeight="1">
      <x:c r="A331" s="14" t="str">
        <x:v>☐</x:v>
      </x:c>
      <x:c r="B331" s="12" t="n">
        <x:v>330</x:v>
      </x:c>
      <x:c r="C331" s="16" t="e">
        <x:f>HYPERLINK("https://pokecottage.com/pokemon-master-sets/flygon","Flygon")</x:f>
        <x:v>HYPERLINK is not implemented. linkLocation=https://pokecottage.com/pokemon-master-sets/flygon, friendlyName=Flygon</x:v>
      </x:c>
      <x:c r="D331" s="8" t="str">
        <x:v>Gen 3 • Hoenn</x:v>
      </x:c>
      <x:c r="E331" s="8"/>
      <x:c r="F331" s="8"/>
    </x:row>
    <x:row r="332" ht="25" customHeight="1">
      <x:c r="A332" s="13" t="str">
        <x:v>☐</x:v>
      </x:c>
      <x:c r="B332" s="11" t="n">
        <x:v>331</x:v>
      </x:c>
      <x:c r="C332" s="15" t="e">
        <x:f>HYPERLINK("https://pokecottage.com/pokemon-master-sets/cacnea","Cacnea")</x:f>
        <x:v>HYPERLINK is not implemented. linkLocation=https://pokecottage.com/pokemon-master-sets/cacnea, friendlyName=Cacnea</x:v>
      </x:c>
      <x:c r="D332" s="7" t="str">
        <x:v>Gen 3 • Hoenn</x:v>
      </x:c>
      <x:c r="E332" s="7"/>
      <x:c r="F332" s="7"/>
    </x:row>
    <x:row r="333" ht="25" customHeight="1">
      <x:c r="A333" s="14" t="str">
        <x:v>☐</x:v>
      </x:c>
      <x:c r="B333" s="12" t="n">
        <x:v>332</x:v>
      </x:c>
      <x:c r="C333" s="16" t="e">
        <x:f>HYPERLINK("https://pokecottage.com/pokemon-master-sets/cacturne","Cacturne")</x:f>
        <x:v>HYPERLINK is not implemented. linkLocation=https://pokecottage.com/pokemon-master-sets/cacturne, friendlyName=Cacturne</x:v>
      </x:c>
      <x:c r="D333" s="8" t="str">
        <x:v>Gen 3 • Hoenn</x:v>
      </x:c>
      <x:c r="E333" s="8"/>
      <x:c r="F333" s="8"/>
    </x:row>
    <x:row r="334" ht="25" customHeight="1">
      <x:c r="A334" s="13" t="str">
        <x:v>☐</x:v>
      </x:c>
      <x:c r="B334" s="11" t="n">
        <x:v>333</x:v>
      </x:c>
      <x:c r="C334" s="15" t="e">
        <x:f>HYPERLINK("https://pokecottage.com/pokemon-master-sets/swablu","Swablu")</x:f>
        <x:v>HYPERLINK is not implemented. linkLocation=https://pokecottage.com/pokemon-master-sets/swablu, friendlyName=Swablu</x:v>
      </x:c>
      <x:c r="D334" s="7" t="str">
        <x:v>Gen 3 • Hoenn</x:v>
      </x:c>
      <x:c r="E334" s="7"/>
      <x:c r="F334" s="7"/>
    </x:row>
    <x:row r="335" ht="25" customHeight="1">
      <x:c r="A335" s="14" t="str">
        <x:v>☐</x:v>
      </x:c>
      <x:c r="B335" s="12" t="n">
        <x:v>334</x:v>
      </x:c>
      <x:c r="C335" s="16" t="e">
        <x:f>HYPERLINK("https://pokecottage.com/pokemon-master-sets/altaria","Altaria")</x:f>
        <x:v>HYPERLINK is not implemented. linkLocation=https://pokecottage.com/pokemon-master-sets/altaria, friendlyName=Altaria</x:v>
      </x:c>
      <x:c r="D335" s="8" t="str">
        <x:v>Gen 3 • Hoenn</x:v>
      </x:c>
      <x:c r="E335" s="8"/>
      <x:c r="F335" s="8"/>
    </x:row>
    <x:row r="336" ht="25" customHeight="1">
      <x:c r="A336" s="13" t="str">
        <x:v>☐</x:v>
      </x:c>
      <x:c r="B336" s="11" t="n">
        <x:v>335</x:v>
      </x:c>
      <x:c r="C336" s="15" t="e">
        <x:f>HYPERLINK("https://pokecottage.com/pokemon-master-sets/zangoose","Zangoose")</x:f>
        <x:v>HYPERLINK is not implemented. linkLocation=https://pokecottage.com/pokemon-master-sets/zangoose, friendlyName=Zangoose</x:v>
      </x:c>
      <x:c r="D336" s="7" t="str">
        <x:v>Gen 3 • Hoenn</x:v>
      </x:c>
      <x:c r="E336" s="7"/>
      <x:c r="F336" s="7"/>
    </x:row>
    <x:row r="337" ht="25" customHeight="1">
      <x:c r="A337" s="14" t="str">
        <x:v>☐</x:v>
      </x:c>
      <x:c r="B337" s="12" t="n">
        <x:v>336</x:v>
      </x:c>
      <x:c r="C337" s="16" t="e">
        <x:f>HYPERLINK("https://pokecottage.com/pokemon-master-sets/seviper","Seviper")</x:f>
        <x:v>HYPERLINK is not implemented. linkLocation=https://pokecottage.com/pokemon-master-sets/seviper, friendlyName=Seviper</x:v>
      </x:c>
      <x:c r="D337" s="8" t="str">
        <x:v>Gen 3 • Hoenn</x:v>
      </x:c>
      <x:c r="E337" s="8"/>
      <x:c r="F337" s="8"/>
    </x:row>
    <x:row r="338" ht="25" customHeight="1">
      <x:c r="A338" s="13" t="str">
        <x:v>☐</x:v>
      </x:c>
      <x:c r="B338" s="11" t="n">
        <x:v>337</x:v>
      </x:c>
      <x:c r="C338" s="15" t="e">
        <x:f>HYPERLINK("https://pokecottage.com/pokemon-master-sets/lunatone","Lunatone")</x:f>
        <x:v>HYPERLINK is not implemented. linkLocation=https://pokecottage.com/pokemon-master-sets/lunatone, friendlyName=Lunatone</x:v>
      </x:c>
      <x:c r="D338" s="7" t="str">
        <x:v>Gen 3 • Hoenn</x:v>
      </x:c>
      <x:c r="E338" s="7"/>
      <x:c r="F338" s="7"/>
    </x:row>
    <x:row r="339" ht="25" customHeight="1">
      <x:c r="A339" s="14" t="str">
        <x:v>☐</x:v>
      </x:c>
      <x:c r="B339" s="12" t="n">
        <x:v>338</x:v>
      </x:c>
      <x:c r="C339" s="16" t="e">
        <x:f>HYPERLINK("https://pokecottage.com/pokemon-master-sets/solrock","Solrock")</x:f>
        <x:v>HYPERLINK is not implemented. linkLocation=https://pokecottage.com/pokemon-master-sets/solrock, friendlyName=Solrock</x:v>
      </x:c>
      <x:c r="D339" s="8" t="str">
        <x:v>Gen 3 • Hoenn</x:v>
      </x:c>
      <x:c r="E339" s="8"/>
      <x:c r="F339" s="8"/>
    </x:row>
    <x:row r="340" ht="25" customHeight="1">
      <x:c r="A340" s="13" t="str">
        <x:v>☐</x:v>
      </x:c>
      <x:c r="B340" s="11" t="n">
        <x:v>339</x:v>
      </x:c>
      <x:c r="C340" s="15" t="e">
        <x:f>HYPERLINK("https://pokecottage.com/pokemon-master-sets/barboach","Barboach")</x:f>
        <x:v>HYPERLINK is not implemented. linkLocation=https://pokecottage.com/pokemon-master-sets/barboach, friendlyName=Barboach</x:v>
      </x:c>
      <x:c r="D340" s="7" t="str">
        <x:v>Gen 3 • Hoenn</x:v>
      </x:c>
      <x:c r="E340" s="7"/>
      <x:c r="F340" s="7"/>
    </x:row>
    <x:row r="341" ht="25" customHeight="1">
      <x:c r="A341" s="14" t="str">
        <x:v>☐</x:v>
      </x:c>
      <x:c r="B341" s="12" t="n">
        <x:v>340</x:v>
      </x:c>
      <x:c r="C341" s="16" t="e">
        <x:f>HYPERLINK("https://pokecottage.com/pokemon-master-sets/whiscash","Whiscash")</x:f>
        <x:v>HYPERLINK is not implemented. linkLocation=https://pokecottage.com/pokemon-master-sets/whiscash, friendlyName=Whiscash</x:v>
      </x:c>
      <x:c r="D341" s="8" t="str">
        <x:v>Gen 3 • Hoenn</x:v>
      </x:c>
      <x:c r="E341" s="8"/>
      <x:c r="F341" s="8"/>
    </x:row>
    <x:row r="342" ht="25" customHeight="1">
      <x:c r="A342" s="13" t="str">
        <x:v>☐</x:v>
      </x:c>
      <x:c r="B342" s="11" t="n">
        <x:v>341</x:v>
      </x:c>
      <x:c r="C342" s="15" t="e">
        <x:f>HYPERLINK("https://pokecottage.com/pokemon-master-sets/corphish","Corphish")</x:f>
        <x:v>HYPERLINK is not implemented. linkLocation=https://pokecottage.com/pokemon-master-sets/corphish, friendlyName=Corphish</x:v>
      </x:c>
      <x:c r="D342" s="7" t="str">
        <x:v>Gen 3 • Hoenn</x:v>
      </x:c>
      <x:c r="E342" s="7"/>
      <x:c r="F342" s="7"/>
    </x:row>
    <x:row r="343" ht="25" customHeight="1">
      <x:c r="A343" s="14" t="str">
        <x:v>☐</x:v>
      </x:c>
      <x:c r="B343" s="12" t="n">
        <x:v>342</x:v>
      </x:c>
      <x:c r="C343" s="16" t="e">
        <x:f>HYPERLINK("https://pokecottage.com/pokemon-master-sets/crawdaunt","Crawdaunt")</x:f>
        <x:v>HYPERLINK is not implemented. linkLocation=https://pokecottage.com/pokemon-master-sets/crawdaunt, friendlyName=Crawdaunt</x:v>
      </x:c>
      <x:c r="D343" s="8" t="str">
        <x:v>Gen 3 • Hoenn</x:v>
      </x:c>
      <x:c r="E343" s="8"/>
      <x:c r="F343" s="8"/>
    </x:row>
    <x:row r="344" ht="25" customHeight="1">
      <x:c r="A344" s="13" t="str">
        <x:v>☐</x:v>
      </x:c>
      <x:c r="B344" s="11" t="n">
        <x:v>343</x:v>
      </x:c>
      <x:c r="C344" s="15" t="e">
        <x:f>HYPERLINK("https://pokecottage.com/pokemon-master-sets/baltoy","Baltoy")</x:f>
        <x:v>HYPERLINK is not implemented. linkLocation=https://pokecottage.com/pokemon-master-sets/baltoy, friendlyName=Baltoy</x:v>
      </x:c>
      <x:c r="D344" s="7" t="str">
        <x:v>Gen 3 • Hoenn</x:v>
      </x:c>
      <x:c r="E344" s="7"/>
      <x:c r="F344" s="7"/>
    </x:row>
    <x:row r="345" ht="25" customHeight="1">
      <x:c r="A345" s="14" t="str">
        <x:v>☐</x:v>
      </x:c>
      <x:c r="B345" s="12" t="n">
        <x:v>344</x:v>
      </x:c>
      <x:c r="C345" s="16" t="e">
        <x:f>HYPERLINK("https://pokecottage.com/pokemon-master-sets/claydol","Claydol")</x:f>
        <x:v>HYPERLINK is not implemented. linkLocation=https://pokecottage.com/pokemon-master-sets/claydol, friendlyName=Claydol</x:v>
      </x:c>
      <x:c r="D345" s="8" t="str">
        <x:v>Gen 3 • Hoenn</x:v>
      </x:c>
      <x:c r="E345" s="8"/>
      <x:c r="F345" s="8"/>
    </x:row>
    <x:row r="346" ht="25" customHeight="1">
      <x:c r="A346" s="13" t="str">
        <x:v>☐</x:v>
      </x:c>
      <x:c r="B346" s="11" t="n">
        <x:v>345</x:v>
      </x:c>
      <x:c r="C346" s="15" t="e">
        <x:f>HYPERLINK("https://pokecottage.com/pokemon-master-sets/lileep","Lileep")</x:f>
        <x:v>HYPERLINK is not implemented. linkLocation=https://pokecottage.com/pokemon-master-sets/lileep, friendlyName=Lileep</x:v>
      </x:c>
      <x:c r="D346" s="7" t="str">
        <x:v>Gen 3 • Hoenn</x:v>
      </x:c>
      <x:c r="E346" s="7"/>
      <x:c r="F346" s="7"/>
    </x:row>
    <x:row r="347" ht="25" customHeight="1">
      <x:c r="A347" s="14" t="str">
        <x:v>☐</x:v>
      </x:c>
      <x:c r="B347" s="12" t="n">
        <x:v>346</x:v>
      </x:c>
      <x:c r="C347" s="16" t="e">
        <x:f>HYPERLINK("https://pokecottage.com/pokemon-master-sets/cradily","Cradily")</x:f>
        <x:v>HYPERLINK is not implemented. linkLocation=https://pokecottage.com/pokemon-master-sets/cradily, friendlyName=Cradily</x:v>
      </x:c>
      <x:c r="D347" s="8" t="str">
        <x:v>Gen 3 • Hoenn</x:v>
      </x:c>
      <x:c r="E347" s="8"/>
      <x:c r="F347" s="8"/>
    </x:row>
    <x:row r="348" ht="25" customHeight="1">
      <x:c r="A348" s="13" t="str">
        <x:v>☐</x:v>
      </x:c>
      <x:c r="B348" s="11" t="n">
        <x:v>347</x:v>
      </x:c>
      <x:c r="C348" s="15" t="e">
        <x:f>HYPERLINK("https://pokecottage.com/pokemon-master-sets/anorith","Anorith")</x:f>
        <x:v>HYPERLINK is not implemented. linkLocation=https://pokecottage.com/pokemon-master-sets/anorith, friendlyName=Anorith</x:v>
      </x:c>
      <x:c r="D348" s="7" t="str">
        <x:v>Gen 3 • Hoenn</x:v>
      </x:c>
      <x:c r="E348" s="7"/>
      <x:c r="F348" s="7"/>
    </x:row>
    <x:row r="349" ht="25" customHeight="1">
      <x:c r="A349" s="14" t="str">
        <x:v>☐</x:v>
      </x:c>
      <x:c r="B349" s="12" t="n">
        <x:v>348</x:v>
      </x:c>
      <x:c r="C349" s="16" t="e">
        <x:f>HYPERLINK("https://pokecottage.com/pokemon-master-sets/armaldo","Armaldo")</x:f>
        <x:v>HYPERLINK is not implemented. linkLocation=https://pokecottage.com/pokemon-master-sets/armaldo, friendlyName=Armaldo</x:v>
      </x:c>
      <x:c r="D349" s="8" t="str">
        <x:v>Gen 3 • Hoenn</x:v>
      </x:c>
      <x:c r="E349" s="8"/>
      <x:c r="F349" s="8"/>
    </x:row>
    <x:row r="350" ht="25" customHeight="1">
      <x:c r="A350" s="13" t="str">
        <x:v>☐</x:v>
      </x:c>
      <x:c r="B350" s="11" t="n">
        <x:v>349</x:v>
      </x:c>
      <x:c r="C350" s="15" t="e">
        <x:f>HYPERLINK("https://pokecottage.com/pokemon-master-sets/feebas","Feebas")</x:f>
        <x:v>HYPERLINK is not implemented. linkLocation=https://pokecottage.com/pokemon-master-sets/feebas, friendlyName=Feebas</x:v>
      </x:c>
      <x:c r="D350" s="7" t="str">
        <x:v>Gen 3 • Hoenn</x:v>
      </x:c>
      <x:c r="E350" s="7"/>
      <x:c r="F350" s="7"/>
    </x:row>
    <x:row r="351" ht="25" customHeight="1">
      <x:c r="A351" s="14" t="str">
        <x:v>☐</x:v>
      </x:c>
      <x:c r="B351" s="12" t="n">
        <x:v>350</x:v>
      </x:c>
      <x:c r="C351" s="16" t="e">
        <x:f>HYPERLINK("https://pokecottage.com/pokemon-master-sets/milotic","Milotic")</x:f>
        <x:v>HYPERLINK is not implemented. linkLocation=https://pokecottage.com/pokemon-master-sets/milotic, friendlyName=Milotic</x:v>
      </x:c>
      <x:c r="D351" s="8" t="str">
        <x:v>Gen 3 • Hoenn</x:v>
      </x:c>
      <x:c r="E351" s="8"/>
      <x:c r="F351" s="8"/>
    </x:row>
    <x:row r="352" ht="25" customHeight="1">
      <x:c r="A352" s="13" t="str">
        <x:v>☐</x:v>
      </x:c>
      <x:c r="B352" s="11" t="n">
        <x:v>351</x:v>
      </x:c>
      <x:c r="C352" s="15" t="e">
        <x:f>HYPERLINK("https://pokecottage.com/pokemon-master-sets/castform","Castform")</x:f>
        <x:v>HYPERLINK is not implemented. linkLocation=https://pokecottage.com/pokemon-master-sets/castform, friendlyName=Castform</x:v>
      </x:c>
      <x:c r="D352" s="7" t="str">
        <x:v>Gen 3 • Hoenn</x:v>
      </x:c>
      <x:c r="E352" s="7"/>
      <x:c r="F352" s="7"/>
    </x:row>
    <x:row r="353" ht="25" customHeight="1">
      <x:c r="A353" s="14" t="str">
        <x:v>☐</x:v>
      </x:c>
      <x:c r="B353" s="12" t="n">
        <x:v>352</x:v>
      </x:c>
      <x:c r="C353" s="16" t="e">
        <x:f>HYPERLINK("https://pokecottage.com/pokemon-master-sets/kecleon","Kecleon")</x:f>
        <x:v>HYPERLINK is not implemented. linkLocation=https://pokecottage.com/pokemon-master-sets/kecleon, friendlyName=Kecleon</x:v>
      </x:c>
      <x:c r="D353" s="8" t="str">
        <x:v>Gen 3 • Hoenn</x:v>
      </x:c>
      <x:c r="E353" s="8"/>
      <x:c r="F353" s="8"/>
    </x:row>
    <x:row r="354" ht="25" customHeight="1">
      <x:c r="A354" s="13" t="str">
        <x:v>☐</x:v>
      </x:c>
      <x:c r="B354" s="11" t="n">
        <x:v>353</x:v>
      </x:c>
      <x:c r="C354" s="15" t="e">
        <x:f>HYPERLINK("https://pokecottage.com/pokemon-master-sets/shuppet","Shuppet")</x:f>
        <x:v>HYPERLINK is not implemented. linkLocation=https://pokecottage.com/pokemon-master-sets/shuppet, friendlyName=Shuppet</x:v>
      </x:c>
      <x:c r="D354" s="7" t="str">
        <x:v>Gen 3 • Hoenn</x:v>
      </x:c>
      <x:c r="E354" s="7"/>
      <x:c r="F354" s="7"/>
    </x:row>
    <x:row r="355" ht="25" customHeight="1">
      <x:c r="A355" s="14" t="str">
        <x:v>☐</x:v>
      </x:c>
      <x:c r="B355" s="12" t="n">
        <x:v>354</x:v>
      </x:c>
      <x:c r="C355" s="16" t="e">
        <x:f>HYPERLINK("https://pokecottage.com/pokemon-master-sets/banette","Banette")</x:f>
        <x:v>HYPERLINK is not implemented. linkLocation=https://pokecottage.com/pokemon-master-sets/banette, friendlyName=Banette</x:v>
      </x:c>
      <x:c r="D355" s="8" t="str">
        <x:v>Gen 3 • Hoenn</x:v>
      </x:c>
      <x:c r="E355" s="8"/>
      <x:c r="F355" s="8"/>
    </x:row>
    <x:row r="356" ht="25" customHeight="1">
      <x:c r="A356" s="13" t="str">
        <x:v>☐</x:v>
      </x:c>
      <x:c r="B356" s="11" t="n">
        <x:v>355</x:v>
      </x:c>
      <x:c r="C356" s="15" t="e">
        <x:f>HYPERLINK("https://pokecottage.com/pokemon-master-sets/duskull","Duskull")</x:f>
        <x:v>HYPERLINK is not implemented. linkLocation=https://pokecottage.com/pokemon-master-sets/duskull, friendlyName=Duskull</x:v>
      </x:c>
      <x:c r="D356" s="7" t="str">
        <x:v>Gen 3 • Hoenn</x:v>
      </x:c>
      <x:c r="E356" s="7"/>
      <x:c r="F356" s="7"/>
    </x:row>
    <x:row r="357" ht="25" customHeight="1">
      <x:c r="A357" s="14" t="str">
        <x:v>☐</x:v>
      </x:c>
      <x:c r="B357" s="12" t="n">
        <x:v>356</x:v>
      </x:c>
      <x:c r="C357" s="16" t="e">
        <x:f>HYPERLINK("https://pokecottage.com/pokemon-master-sets/dusclops","Dusclops")</x:f>
        <x:v>HYPERLINK is not implemented. linkLocation=https://pokecottage.com/pokemon-master-sets/dusclops, friendlyName=Dusclops</x:v>
      </x:c>
      <x:c r="D357" s="8" t="str">
        <x:v>Gen 3 • Hoenn</x:v>
      </x:c>
      <x:c r="E357" s="8"/>
      <x:c r="F357" s="8"/>
    </x:row>
    <x:row r="358" ht="25" customHeight="1">
      <x:c r="A358" s="13" t="str">
        <x:v>☐</x:v>
      </x:c>
      <x:c r="B358" s="11" t="n">
        <x:v>357</x:v>
      </x:c>
      <x:c r="C358" s="15" t="e">
        <x:f>HYPERLINK("https://pokecottage.com/pokemon-master-sets/tropius","Tropius")</x:f>
        <x:v>HYPERLINK is not implemented. linkLocation=https://pokecottage.com/pokemon-master-sets/tropius, friendlyName=Tropius</x:v>
      </x:c>
      <x:c r="D358" s="7" t="str">
        <x:v>Gen 3 • Hoenn</x:v>
      </x:c>
      <x:c r="E358" s="7"/>
      <x:c r="F358" s="7"/>
    </x:row>
    <x:row r="359" ht="25" customHeight="1">
      <x:c r="A359" s="14" t="str">
        <x:v>☐</x:v>
      </x:c>
      <x:c r="B359" s="12" t="n">
        <x:v>358</x:v>
      </x:c>
      <x:c r="C359" s="16" t="e">
        <x:f>HYPERLINK("https://pokecottage.com/pokemon-master-sets/chimecho","Chimecho")</x:f>
        <x:v>HYPERLINK is not implemented. linkLocation=https://pokecottage.com/pokemon-master-sets/chimecho, friendlyName=Chimecho</x:v>
      </x:c>
      <x:c r="D359" s="8" t="str">
        <x:v>Gen 3 • Hoenn</x:v>
      </x:c>
      <x:c r="E359" s="8"/>
      <x:c r="F359" s="8"/>
    </x:row>
    <x:row r="360" ht="25" customHeight="1">
      <x:c r="A360" s="13" t="str">
        <x:v>☐</x:v>
      </x:c>
      <x:c r="B360" s="11" t="n">
        <x:v>359</x:v>
      </x:c>
      <x:c r="C360" s="15" t="e">
        <x:f>HYPERLINK("https://pokecottage.com/pokemon-master-sets/absol","Absol")</x:f>
        <x:v>HYPERLINK is not implemented. linkLocation=https://pokecottage.com/pokemon-master-sets/absol, friendlyName=Absol</x:v>
      </x:c>
      <x:c r="D360" s="7" t="str">
        <x:v>Gen 3 • Hoenn</x:v>
      </x:c>
      <x:c r="E360" s="7"/>
      <x:c r="F360" s="7"/>
    </x:row>
    <x:row r="361" ht="25" customHeight="1">
      <x:c r="A361" s="14" t="str">
        <x:v>☐</x:v>
      </x:c>
      <x:c r="B361" s="12" t="n">
        <x:v>360</x:v>
      </x:c>
      <x:c r="C361" s="16" t="e">
        <x:f>HYPERLINK("https://pokecottage.com/pokemon-master-sets/wynaut","Wynaut")</x:f>
        <x:v>HYPERLINK is not implemented. linkLocation=https://pokecottage.com/pokemon-master-sets/wynaut, friendlyName=Wynaut</x:v>
      </x:c>
      <x:c r="D361" s="8" t="str">
        <x:v>Gen 3 • Hoenn</x:v>
      </x:c>
      <x:c r="E361" s="8"/>
      <x:c r="F361" s="8"/>
    </x:row>
    <x:row r="362" ht="25" customHeight="1">
      <x:c r="A362" s="13" t="str">
        <x:v>☐</x:v>
      </x:c>
      <x:c r="B362" s="11" t="n">
        <x:v>361</x:v>
      </x:c>
      <x:c r="C362" s="15" t="e">
        <x:f>HYPERLINK("https://pokecottage.com/pokemon-master-sets/snorunt","Snorunt")</x:f>
        <x:v>HYPERLINK is not implemented. linkLocation=https://pokecottage.com/pokemon-master-sets/snorunt, friendlyName=Snorunt</x:v>
      </x:c>
      <x:c r="D362" s="7" t="str">
        <x:v>Gen 3 • Hoenn</x:v>
      </x:c>
      <x:c r="E362" s="7"/>
      <x:c r="F362" s="7"/>
    </x:row>
    <x:row r="363" ht="25" customHeight="1">
      <x:c r="A363" s="14" t="str">
        <x:v>☐</x:v>
      </x:c>
      <x:c r="B363" s="12" t="n">
        <x:v>362</x:v>
      </x:c>
      <x:c r="C363" s="16" t="e">
        <x:f>HYPERLINK("https://pokecottage.com/pokemon-master-sets/glalie","Glalie")</x:f>
        <x:v>HYPERLINK is not implemented. linkLocation=https://pokecottage.com/pokemon-master-sets/glalie, friendlyName=Glalie</x:v>
      </x:c>
      <x:c r="D363" s="8" t="str">
        <x:v>Gen 3 • Hoenn</x:v>
      </x:c>
      <x:c r="E363" s="8"/>
      <x:c r="F363" s="8"/>
    </x:row>
    <x:row r="364" ht="25" customHeight="1">
      <x:c r="A364" s="13" t="str">
        <x:v>☐</x:v>
      </x:c>
      <x:c r="B364" s="11" t="n">
        <x:v>363</x:v>
      </x:c>
      <x:c r="C364" s="15" t="e">
        <x:f>HYPERLINK("https://pokecottage.com/pokemon-master-sets/spheal","Spheal")</x:f>
        <x:v>HYPERLINK is not implemented. linkLocation=https://pokecottage.com/pokemon-master-sets/spheal, friendlyName=Spheal</x:v>
      </x:c>
      <x:c r="D364" s="7" t="str">
        <x:v>Gen 3 • Hoenn</x:v>
      </x:c>
      <x:c r="E364" s="7"/>
      <x:c r="F364" s="7"/>
    </x:row>
    <x:row r="365" ht="25" customHeight="1">
      <x:c r="A365" s="14" t="str">
        <x:v>☐</x:v>
      </x:c>
      <x:c r="B365" s="12" t="n">
        <x:v>364</x:v>
      </x:c>
      <x:c r="C365" s="16" t="e">
        <x:f>HYPERLINK("https://pokecottage.com/pokemon-master-sets/sealeo","Sealeo")</x:f>
        <x:v>HYPERLINK is not implemented. linkLocation=https://pokecottage.com/pokemon-master-sets/sealeo, friendlyName=Sealeo</x:v>
      </x:c>
      <x:c r="D365" s="8" t="str">
        <x:v>Gen 3 • Hoenn</x:v>
      </x:c>
      <x:c r="E365" s="8"/>
      <x:c r="F365" s="8"/>
    </x:row>
    <x:row r="366" ht="25" customHeight="1">
      <x:c r="A366" s="13" t="str">
        <x:v>☐</x:v>
      </x:c>
      <x:c r="B366" s="11" t="n">
        <x:v>365</x:v>
      </x:c>
      <x:c r="C366" s="15" t="e">
        <x:f>HYPERLINK("https://pokecottage.com/pokemon-master-sets/walrein","Walrein")</x:f>
        <x:v>HYPERLINK is not implemented. linkLocation=https://pokecottage.com/pokemon-master-sets/walrein, friendlyName=Walrein</x:v>
      </x:c>
      <x:c r="D366" s="7" t="str">
        <x:v>Gen 3 • Hoenn</x:v>
      </x:c>
      <x:c r="E366" s="7"/>
      <x:c r="F366" s="7"/>
    </x:row>
    <x:row r="367" ht="25" customHeight="1">
      <x:c r="A367" s="14" t="str">
        <x:v>☐</x:v>
      </x:c>
      <x:c r="B367" s="12" t="n">
        <x:v>366</x:v>
      </x:c>
      <x:c r="C367" s="16" t="e">
        <x:f>HYPERLINK("https://pokecottage.com/pokemon-master-sets/clamperl","Clamperl")</x:f>
        <x:v>HYPERLINK is not implemented. linkLocation=https://pokecottage.com/pokemon-master-sets/clamperl, friendlyName=Clamperl</x:v>
      </x:c>
      <x:c r="D367" s="8" t="str">
        <x:v>Gen 3 • Hoenn</x:v>
      </x:c>
      <x:c r="E367" s="8"/>
      <x:c r="F367" s="8"/>
    </x:row>
    <x:row r="368" ht="25" customHeight="1">
      <x:c r="A368" s="13" t="str">
        <x:v>☐</x:v>
      </x:c>
      <x:c r="B368" s="11" t="n">
        <x:v>367</x:v>
      </x:c>
      <x:c r="C368" s="15" t="e">
        <x:f>HYPERLINK("https://pokecottage.com/pokemon-master-sets/huntail","Huntail")</x:f>
        <x:v>HYPERLINK is not implemented. linkLocation=https://pokecottage.com/pokemon-master-sets/huntail, friendlyName=Huntail</x:v>
      </x:c>
      <x:c r="D368" s="7" t="str">
        <x:v>Gen 3 • Hoenn</x:v>
      </x:c>
      <x:c r="E368" s="7"/>
      <x:c r="F368" s="7"/>
    </x:row>
    <x:row r="369" ht="25" customHeight="1">
      <x:c r="A369" s="14" t="str">
        <x:v>☐</x:v>
      </x:c>
      <x:c r="B369" s="12" t="n">
        <x:v>368</x:v>
      </x:c>
      <x:c r="C369" s="16" t="e">
        <x:f>HYPERLINK("https://pokecottage.com/pokemon-master-sets/gorebyss","Gorebyss")</x:f>
        <x:v>HYPERLINK is not implemented. linkLocation=https://pokecottage.com/pokemon-master-sets/gorebyss, friendlyName=Gorebyss</x:v>
      </x:c>
      <x:c r="D369" s="8" t="str">
        <x:v>Gen 3 • Hoenn</x:v>
      </x:c>
      <x:c r="E369" s="8"/>
      <x:c r="F369" s="8"/>
    </x:row>
    <x:row r="370" ht="25" customHeight="1">
      <x:c r="A370" s="13" t="str">
        <x:v>☐</x:v>
      </x:c>
      <x:c r="B370" s="11" t="n">
        <x:v>369</x:v>
      </x:c>
      <x:c r="C370" s="15" t="e">
        <x:f>HYPERLINK("https://pokecottage.com/pokemon-master-sets/relicanth","Relicanth")</x:f>
        <x:v>HYPERLINK is not implemented. linkLocation=https://pokecottage.com/pokemon-master-sets/relicanth, friendlyName=Relicanth</x:v>
      </x:c>
      <x:c r="D370" s="7" t="str">
        <x:v>Gen 3 • Hoenn</x:v>
      </x:c>
      <x:c r="E370" s="7"/>
      <x:c r="F370" s="7"/>
    </x:row>
    <x:row r="371" ht="25" customHeight="1">
      <x:c r="A371" s="14" t="str">
        <x:v>☐</x:v>
      </x:c>
      <x:c r="B371" s="12" t="n">
        <x:v>370</x:v>
      </x:c>
      <x:c r="C371" s="16" t="e">
        <x:f>HYPERLINK("https://pokecottage.com/pokemon-master-sets/luvdisc","Luvdisc")</x:f>
        <x:v>HYPERLINK is not implemented. linkLocation=https://pokecottage.com/pokemon-master-sets/luvdisc, friendlyName=Luvdisc</x:v>
      </x:c>
      <x:c r="D371" s="8" t="str">
        <x:v>Gen 3 • Hoenn</x:v>
      </x:c>
      <x:c r="E371" s="8"/>
      <x:c r="F371" s="8"/>
    </x:row>
    <x:row r="372" ht="25" customHeight="1">
      <x:c r="A372" s="13" t="str">
        <x:v>☐</x:v>
      </x:c>
      <x:c r="B372" s="11" t="n">
        <x:v>371</x:v>
      </x:c>
      <x:c r="C372" s="15" t="e">
        <x:f>HYPERLINK("https://pokecottage.com/pokemon-master-sets/bagon","Bagon")</x:f>
        <x:v>HYPERLINK is not implemented. linkLocation=https://pokecottage.com/pokemon-master-sets/bagon, friendlyName=Bagon</x:v>
      </x:c>
      <x:c r="D372" s="7" t="str">
        <x:v>Gen 3 • Hoenn</x:v>
      </x:c>
      <x:c r="E372" s="7"/>
      <x:c r="F372" s="7"/>
    </x:row>
    <x:row r="373" ht="25" customHeight="1">
      <x:c r="A373" s="14" t="str">
        <x:v>☐</x:v>
      </x:c>
      <x:c r="B373" s="12" t="n">
        <x:v>372</x:v>
      </x:c>
      <x:c r="C373" s="16" t="e">
        <x:f>HYPERLINK("https://pokecottage.com/pokemon-master-sets/shelgon","Shelgon")</x:f>
        <x:v>HYPERLINK is not implemented. linkLocation=https://pokecottage.com/pokemon-master-sets/shelgon, friendlyName=Shelgon</x:v>
      </x:c>
      <x:c r="D373" s="8" t="str">
        <x:v>Gen 3 • Hoenn</x:v>
      </x:c>
      <x:c r="E373" s="8"/>
      <x:c r="F373" s="8"/>
    </x:row>
    <x:row r="374" ht="25" customHeight="1">
      <x:c r="A374" s="13" t="str">
        <x:v>☐</x:v>
      </x:c>
      <x:c r="B374" s="11" t="n">
        <x:v>373</x:v>
      </x:c>
      <x:c r="C374" s="15" t="e">
        <x:f>HYPERLINK("https://pokecottage.com/pokemon-master-sets/salamence","Salamence")</x:f>
        <x:v>HYPERLINK is not implemented. linkLocation=https://pokecottage.com/pokemon-master-sets/salamence, friendlyName=Salamence</x:v>
      </x:c>
      <x:c r="D374" s="7" t="str">
        <x:v>Gen 3 • Hoenn</x:v>
      </x:c>
      <x:c r="E374" s="7"/>
      <x:c r="F374" s="7"/>
    </x:row>
    <x:row r="375" ht="25" customHeight="1">
      <x:c r="A375" s="14" t="str">
        <x:v>☐</x:v>
      </x:c>
      <x:c r="B375" s="12" t="n">
        <x:v>374</x:v>
      </x:c>
      <x:c r="C375" s="16" t="e">
        <x:f>HYPERLINK("https://pokecottage.com/pokemon-master-sets/beldum","Beldum")</x:f>
        <x:v>HYPERLINK is not implemented. linkLocation=https://pokecottage.com/pokemon-master-sets/beldum, friendlyName=Beldum</x:v>
      </x:c>
      <x:c r="D375" s="8" t="str">
        <x:v>Gen 3 • Hoenn</x:v>
      </x:c>
      <x:c r="E375" s="8"/>
      <x:c r="F375" s="8"/>
    </x:row>
    <x:row r="376" ht="25" customHeight="1">
      <x:c r="A376" s="13" t="str">
        <x:v>☐</x:v>
      </x:c>
      <x:c r="B376" s="11" t="n">
        <x:v>375</x:v>
      </x:c>
      <x:c r="C376" s="15" t="e">
        <x:f>HYPERLINK("https://pokecottage.com/pokemon-master-sets/metang","Metang")</x:f>
        <x:v>HYPERLINK is not implemented. linkLocation=https://pokecottage.com/pokemon-master-sets/metang, friendlyName=Metang</x:v>
      </x:c>
      <x:c r="D376" s="7" t="str">
        <x:v>Gen 3 • Hoenn</x:v>
      </x:c>
      <x:c r="E376" s="7"/>
      <x:c r="F376" s="7"/>
    </x:row>
    <x:row r="377" ht="25" customHeight="1">
      <x:c r="A377" s="14" t="str">
        <x:v>☐</x:v>
      </x:c>
      <x:c r="B377" s="12" t="n">
        <x:v>376</x:v>
      </x:c>
      <x:c r="C377" s="16" t="e">
        <x:f>HYPERLINK("https://pokecottage.com/pokemon-master-sets/metagross","Metagross")</x:f>
        <x:v>HYPERLINK is not implemented. linkLocation=https://pokecottage.com/pokemon-master-sets/metagross, friendlyName=Metagross</x:v>
      </x:c>
      <x:c r="D377" s="8" t="str">
        <x:v>Gen 3 • Hoenn</x:v>
      </x:c>
      <x:c r="E377" s="8"/>
      <x:c r="F377" s="8"/>
    </x:row>
    <x:row r="378" ht="25" customHeight="1">
      <x:c r="A378" s="13" t="str">
        <x:v>☐</x:v>
      </x:c>
      <x:c r="B378" s="11" t="n">
        <x:v>377</x:v>
      </x:c>
      <x:c r="C378" s="15" t="e">
        <x:f>HYPERLINK("https://pokecottage.com/pokemon-master-sets/regirock","Regirock")</x:f>
        <x:v>HYPERLINK is not implemented. linkLocation=https://pokecottage.com/pokemon-master-sets/regirock, friendlyName=Regirock</x:v>
      </x:c>
      <x:c r="D378" s="7" t="str">
        <x:v>Gen 3 • Hoenn</x:v>
      </x:c>
      <x:c r="E378" s="7"/>
      <x:c r="F378" s="7"/>
    </x:row>
    <x:row r="379" ht="25" customHeight="1">
      <x:c r="A379" s="14" t="str">
        <x:v>☐</x:v>
      </x:c>
      <x:c r="B379" s="12" t="n">
        <x:v>378</x:v>
      </x:c>
      <x:c r="C379" s="16" t="e">
        <x:f>HYPERLINK("https://pokecottage.com/pokemon-master-sets/regice","Regice")</x:f>
        <x:v>HYPERLINK is not implemented. linkLocation=https://pokecottage.com/pokemon-master-sets/regice, friendlyName=Regice</x:v>
      </x:c>
      <x:c r="D379" s="8" t="str">
        <x:v>Gen 3 • Hoenn</x:v>
      </x:c>
      <x:c r="E379" s="8"/>
      <x:c r="F379" s="8"/>
    </x:row>
    <x:row r="380" ht="25" customHeight="1">
      <x:c r="A380" s="13" t="str">
        <x:v>☐</x:v>
      </x:c>
      <x:c r="B380" s="11" t="n">
        <x:v>379</x:v>
      </x:c>
      <x:c r="C380" s="15" t="e">
        <x:f>HYPERLINK("https://pokecottage.com/pokemon-master-sets/registeel","Registeel")</x:f>
        <x:v>HYPERLINK is not implemented. linkLocation=https://pokecottage.com/pokemon-master-sets/registeel, friendlyName=Registeel</x:v>
      </x:c>
      <x:c r="D380" s="7" t="str">
        <x:v>Gen 3 • Hoenn</x:v>
      </x:c>
      <x:c r="E380" s="7"/>
      <x:c r="F380" s="7"/>
    </x:row>
    <x:row r="381" ht="25" customHeight="1">
      <x:c r="A381" s="14" t="str">
        <x:v>☐</x:v>
      </x:c>
      <x:c r="B381" s="12" t="n">
        <x:v>380</x:v>
      </x:c>
      <x:c r="C381" s="16" t="e">
        <x:f>HYPERLINK("https://pokecottage.com/pokemon-master-sets/latias","Latias")</x:f>
        <x:v>HYPERLINK is not implemented. linkLocation=https://pokecottage.com/pokemon-master-sets/latias, friendlyName=Latias</x:v>
      </x:c>
      <x:c r="D381" s="8" t="str">
        <x:v>Gen 3 • Hoenn</x:v>
      </x:c>
      <x:c r="E381" s="8"/>
      <x:c r="F381" s="8"/>
    </x:row>
    <x:row r="382" ht="25" customHeight="1">
      <x:c r="A382" s="13" t="str">
        <x:v>☐</x:v>
      </x:c>
      <x:c r="B382" s="11" t="n">
        <x:v>381</x:v>
      </x:c>
      <x:c r="C382" s="15" t="e">
        <x:f>HYPERLINK("https://pokecottage.com/pokemon-master-sets/latios","Latios")</x:f>
        <x:v>HYPERLINK is not implemented. linkLocation=https://pokecottage.com/pokemon-master-sets/latios, friendlyName=Latios</x:v>
      </x:c>
      <x:c r="D382" s="7" t="str">
        <x:v>Gen 3 • Hoenn</x:v>
      </x:c>
      <x:c r="E382" s="7"/>
      <x:c r="F382" s="7"/>
    </x:row>
    <x:row r="383" ht="25" customHeight="1">
      <x:c r="A383" s="14" t="str">
        <x:v>☐</x:v>
      </x:c>
      <x:c r="B383" s="12" t="n">
        <x:v>382</x:v>
      </x:c>
      <x:c r="C383" s="16" t="e">
        <x:f>HYPERLINK("https://pokecottage.com/pokemon-master-sets/kyogre","Kyogre")</x:f>
        <x:v>HYPERLINK is not implemented. linkLocation=https://pokecottage.com/pokemon-master-sets/kyogre, friendlyName=Kyogre</x:v>
      </x:c>
      <x:c r="D383" s="8" t="str">
        <x:v>Gen 3 • Hoenn</x:v>
      </x:c>
      <x:c r="E383" s="8"/>
      <x:c r="F383" s="8"/>
    </x:row>
    <x:row r="384" ht="25" customHeight="1">
      <x:c r="A384" s="13" t="str">
        <x:v>☐</x:v>
      </x:c>
      <x:c r="B384" s="11" t="n">
        <x:v>383</x:v>
      </x:c>
      <x:c r="C384" s="15" t="e">
        <x:f>HYPERLINK("https://pokecottage.com/pokemon-master-sets/groudon","Groudon")</x:f>
        <x:v>HYPERLINK is not implemented. linkLocation=https://pokecottage.com/pokemon-master-sets/groudon, friendlyName=Groudon</x:v>
      </x:c>
      <x:c r="D384" s="7" t="str">
        <x:v>Gen 3 • Hoenn</x:v>
      </x:c>
      <x:c r="E384" s="7"/>
      <x:c r="F384" s="7"/>
    </x:row>
    <x:row r="385" ht="25" customHeight="1">
      <x:c r="A385" s="14" t="str">
        <x:v>☐</x:v>
      </x:c>
      <x:c r="B385" s="12" t="n">
        <x:v>384</x:v>
      </x:c>
      <x:c r="C385" s="16" t="e">
        <x:f>HYPERLINK("https://pokecottage.com/pokemon-master-sets/rayquaza","Rayquaza")</x:f>
        <x:v>HYPERLINK is not implemented. linkLocation=https://pokecottage.com/pokemon-master-sets/rayquaza, friendlyName=Rayquaza</x:v>
      </x:c>
      <x:c r="D385" s="8" t="str">
        <x:v>Gen 3 • Hoenn</x:v>
      </x:c>
      <x:c r="E385" s="8"/>
      <x:c r="F385" s="8"/>
    </x:row>
    <x:row r="386" ht="25" customHeight="1">
      <x:c r="A386" s="13" t="str">
        <x:v>☐</x:v>
      </x:c>
      <x:c r="B386" s="11" t="n">
        <x:v>385</x:v>
      </x:c>
      <x:c r="C386" s="15" t="e">
        <x:f>HYPERLINK("https://pokecottage.com/pokemon-master-sets/jirachi","Jirachi")</x:f>
        <x:v>HYPERLINK is not implemented. linkLocation=https://pokecottage.com/pokemon-master-sets/jirachi, friendlyName=Jirachi</x:v>
      </x:c>
      <x:c r="D386" s="7" t="str">
        <x:v>Gen 3 • Hoenn</x:v>
      </x:c>
      <x:c r="E386" s="7"/>
      <x:c r="F386" s="7"/>
    </x:row>
    <x:row r="387" ht="25" customHeight="1">
      <x:c r="A387" s="14" t="str">
        <x:v>☐</x:v>
      </x:c>
      <x:c r="B387" s="12" t="n">
        <x:v>386</x:v>
      </x:c>
      <x:c r="C387" s="16" t="e">
        <x:f>HYPERLINK("https://pokecottage.com/pokemon-master-sets/deoxys","Deoxys")</x:f>
        <x:v>HYPERLINK is not implemented. linkLocation=https://pokecottage.com/pokemon-master-sets/deoxys, friendlyName=Deoxys</x:v>
      </x:c>
      <x:c r="D387" s="8" t="str">
        <x:v>Gen 3 • Hoenn</x:v>
      </x:c>
      <x:c r="E387" s="8"/>
      <x:c r="F387" s="8"/>
    </x:row>
    <x:row r="388" ht="25" customHeight="1">
      <x:c r="A388" s="13" t="str">
        <x:v>☐</x:v>
      </x:c>
      <x:c r="B388" s="11" t="n">
        <x:v>387</x:v>
      </x:c>
      <x:c r="C388" s="15" t="e">
        <x:f>HYPERLINK("https://pokecottage.com/pokemon-master-sets/turtwig","Turtwig")</x:f>
        <x:v>HYPERLINK is not implemented. linkLocation=https://pokecottage.com/pokemon-master-sets/turtwig, friendlyName=Turtwig</x:v>
      </x:c>
      <x:c r="D388" s="7" t="str">
        <x:v>Gen 4 • Sinnoh</x:v>
      </x:c>
      <x:c r="E388" s="7"/>
      <x:c r="F388" s="7"/>
    </x:row>
    <x:row r="389" ht="25" customHeight="1">
      <x:c r="A389" s="14" t="str">
        <x:v>☐</x:v>
      </x:c>
      <x:c r="B389" s="12" t="n">
        <x:v>388</x:v>
      </x:c>
      <x:c r="C389" s="16" t="e">
        <x:f>HYPERLINK("https://pokecottage.com/pokemon-master-sets/grotle","Grotle")</x:f>
        <x:v>HYPERLINK is not implemented. linkLocation=https://pokecottage.com/pokemon-master-sets/grotle, friendlyName=Grotle</x:v>
      </x:c>
      <x:c r="D389" s="8" t="str">
        <x:v>Gen 4 • Sinnoh</x:v>
      </x:c>
      <x:c r="E389" s="8"/>
      <x:c r="F389" s="8"/>
    </x:row>
    <x:row r="390" ht="25" customHeight="1">
      <x:c r="A390" s="13" t="str">
        <x:v>☐</x:v>
      </x:c>
      <x:c r="B390" s="11" t="n">
        <x:v>389</x:v>
      </x:c>
      <x:c r="C390" s="15" t="e">
        <x:f>HYPERLINK("https://pokecottage.com/pokemon-master-sets/torterra","Torterra")</x:f>
        <x:v>HYPERLINK is not implemented. linkLocation=https://pokecottage.com/pokemon-master-sets/torterra, friendlyName=Torterra</x:v>
      </x:c>
      <x:c r="D390" s="7" t="str">
        <x:v>Gen 4 • Sinnoh</x:v>
      </x:c>
      <x:c r="E390" s="7"/>
      <x:c r="F390" s="7"/>
    </x:row>
    <x:row r="391" ht="25" customHeight="1">
      <x:c r="A391" s="14" t="str">
        <x:v>☐</x:v>
      </x:c>
      <x:c r="B391" s="12" t="n">
        <x:v>390</x:v>
      </x:c>
      <x:c r="C391" s="16" t="e">
        <x:f>HYPERLINK("https://pokecottage.com/pokemon-master-sets/chimchar","Chimchar")</x:f>
        <x:v>HYPERLINK is not implemented. linkLocation=https://pokecottage.com/pokemon-master-sets/chimchar, friendlyName=Chimchar</x:v>
      </x:c>
      <x:c r="D391" s="8" t="str">
        <x:v>Gen 4 • Sinnoh</x:v>
      </x:c>
      <x:c r="E391" s="8"/>
      <x:c r="F391" s="8"/>
    </x:row>
    <x:row r="392" ht="25" customHeight="1">
      <x:c r="A392" s="13" t="str">
        <x:v>☐</x:v>
      </x:c>
      <x:c r="B392" s="11" t="n">
        <x:v>391</x:v>
      </x:c>
      <x:c r="C392" s="15" t="e">
        <x:f>HYPERLINK("https://pokecottage.com/pokemon-master-sets/monferno","Monferno")</x:f>
        <x:v>HYPERLINK is not implemented. linkLocation=https://pokecottage.com/pokemon-master-sets/monferno, friendlyName=Monferno</x:v>
      </x:c>
      <x:c r="D392" s="7" t="str">
        <x:v>Gen 4 • Sinnoh</x:v>
      </x:c>
      <x:c r="E392" s="7"/>
      <x:c r="F392" s="7"/>
    </x:row>
    <x:row r="393" ht="25" customHeight="1">
      <x:c r="A393" s="14" t="str">
        <x:v>☐</x:v>
      </x:c>
      <x:c r="B393" s="12" t="n">
        <x:v>392</x:v>
      </x:c>
      <x:c r="C393" s="16" t="e">
        <x:f>HYPERLINK("https://pokecottage.com/pokemon-master-sets/infernape","Infernape")</x:f>
        <x:v>HYPERLINK is not implemented. linkLocation=https://pokecottage.com/pokemon-master-sets/infernape, friendlyName=Infernape</x:v>
      </x:c>
      <x:c r="D393" s="8" t="str">
        <x:v>Gen 4 • Sinnoh</x:v>
      </x:c>
      <x:c r="E393" s="8"/>
      <x:c r="F393" s="8"/>
    </x:row>
    <x:row r="394" ht="25" customHeight="1">
      <x:c r="A394" s="13" t="str">
        <x:v>☐</x:v>
      </x:c>
      <x:c r="B394" s="11" t="n">
        <x:v>393</x:v>
      </x:c>
      <x:c r="C394" s="15" t="e">
        <x:f>HYPERLINK("https://pokecottage.com/pokemon-master-sets/piplup","Piplup")</x:f>
        <x:v>HYPERLINK is not implemented. linkLocation=https://pokecottage.com/pokemon-master-sets/piplup, friendlyName=Piplup</x:v>
      </x:c>
      <x:c r="D394" s="7" t="str">
        <x:v>Gen 4 • Sinnoh</x:v>
      </x:c>
      <x:c r="E394" s="7"/>
      <x:c r="F394" s="7"/>
    </x:row>
    <x:row r="395" ht="25" customHeight="1">
      <x:c r="A395" s="14" t="str">
        <x:v>☐</x:v>
      </x:c>
      <x:c r="B395" s="12" t="n">
        <x:v>394</x:v>
      </x:c>
      <x:c r="C395" s="16" t="e">
        <x:f>HYPERLINK("https://pokecottage.com/pokemon-master-sets/prinplup","Prinplup")</x:f>
        <x:v>HYPERLINK is not implemented. linkLocation=https://pokecottage.com/pokemon-master-sets/prinplup, friendlyName=Prinplup</x:v>
      </x:c>
      <x:c r="D395" s="8" t="str">
        <x:v>Gen 4 • Sinnoh</x:v>
      </x:c>
      <x:c r="E395" s="8"/>
      <x:c r="F395" s="8"/>
    </x:row>
    <x:row r="396" ht="25" customHeight="1">
      <x:c r="A396" s="13" t="str">
        <x:v>☐</x:v>
      </x:c>
      <x:c r="B396" s="11" t="n">
        <x:v>395</x:v>
      </x:c>
      <x:c r="C396" s="15" t="e">
        <x:f>HYPERLINK("https://pokecottage.com/pokemon-master-sets/empoleon","Empoleon")</x:f>
        <x:v>HYPERLINK is not implemented. linkLocation=https://pokecottage.com/pokemon-master-sets/empoleon, friendlyName=Empoleon</x:v>
      </x:c>
      <x:c r="D396" s="7" t="str">
        <x:v>Gen 4 • Sinnoh</x:v>
      </x:c>
      <x:c r="E396" s="7"/>
      <x:c r="F396" s="7"/>
    </x:row>
    <x:row r="397" ht="25" customHeight="1">
      <x:c r="A397" s="14" t="str">
        <x:v>☐</x:v>
      </x:c>
      <x:c r="B397" s="12" t="n">
        <x:v>396</x:v>
      </x:c>
      <x:c r="C397" s="16" t="e">
        <x:f>HYPERLINK("https://pokecottage.com/pokemon-master-sets/starly","Starly")</x:f>
        <x:v>HYPERLINK is not implemented. linkLocation=https://pokecottage.com/pokemon-master-sets/starly, friendlyName=Starly</x:v>
      </x:c>
      <x:c r="D397" s="8" t="str">
        <x:v>Gen 4 • Sinnoh</x:v>
      </x:c>
      <x:c r="E397" s="8"/>
      <x:c r="F397" s="8"/>
    </x:row>
    <x:row r="398" ht="25" customHeight="1">
      <x:c r="A398" s="13" t="str">
        <x:v>☐</x:v>
      </x:c>
      <x:c r="B398" s="11" t="n">
        <x:v>397</x:v>
      </x:c>
      <x:c r="C398" s="15" t="e">
        <x:f>HYPERLINK("https://pokecottage.com/pokemon-master-sets/staravia","Staravia")</x:f>
        <x:v>HYPERLINK is not implemented. linkLocation=https://pokecottage.com/pokemon-master-sets/staravia, friendlyName=Staravia</x:v>
      </x:c>
      <x:c r="D398" s="7" t="str">
        <x:v>Gen 4 • Sinnoh</x:v>
      </x:c>
      <x:c r="E398" s="7"/>
      <x:c r="F398" s="7"/>
    </x:row>
    <x:row r="399" ht="25" customHeight="1">
      <x:c r="A399" s="14" t="str">
        <x:v>☐</x:v>
      </x:c>
      <x:c r="B399" s="12" t="n">
        <x:v>398</x:v>
      </x:c>
      <x:c r="C399" s="16" t="e">
        <x:f>HYPERLINK("https://pokecottage.com/pokemon-master-sets/staraptor","Staraptor")</x:f>
        <x:v>HYPERLINK is not implemented. linkLocation=https://pokecottage.com/pokemon-master-sets/staraptor, friendlyName=Staraptor</x:v>
      </x:c>
      <x:c r="D399" s="8" t="str">
        <x:v>Gen 4 • Sinnoh</x:v>
      </x:c>
      <x:c r="E399" s="8"/>
      <x:c r="F399" s="8"/>
    </x:row>
    <x:row r="400" ht="25" customHeight="1">
      <x:c r="A400" s="13" t="str">
        <x:v>☐</x:v>
      </x:c>
      <x:c r="B400" s="11" t="n">
        <x:v>399</x:v>
      </x:c>
      <x:c r="C400" s="15" t="e">
        <x:f>HYPERLINK("https://pokecottage.com/pokemon-master-sets/bidoof","Bidoof")</x:f>
        <x:v>HYPERLINK is not implemented. linkLocation=https://pokecottage.com/pokemon-master-sets/bidoof, friendlyName=Bidoof</x:v>
      </x:c>
      <x:c r="D400" s="7" t="str">
        <x:v>Gen 4 • Sinnoh</x:v>
      </x:c>
      <x:c r="E400" s="7"/>
      <x:c r="F400" s="7"/>
    </x:row>
    <x:row r="401" ht="25" customHeight="1">
      <x:c r="A401" s="14" t="str">
        <x:v>☐</x:v>
      </x:c>
      <x:c r="B401" s="12" t="n">
        <x:v>400</x:v>
      </x:c>
      <x:c r="C401" s="16" t="e">
        <x:f>HYPERLINK("https://pokecottage.com/pokemon-master-sets/bibarel","Bibarel")</x:f>
        <x:v>HYPERLINK is not implemented. linkLocation=https://pokecottage.com/pokemon-master-sets/bibarel, friendlyName=Bibarel</x:v>
      </x:c>
      <x:c r="D401" s="8" t="str">
        <x:v>Gen 4 • Sinnoh</x:v>
      </x:c>
      <x:c r="E401" s="8"/>
      <x:c r="F401" s="8"/>
    </x:row>
    <x:row r="402" ht="25" customHeight="1">
      <x:c r="A402" s="13" t="str">
        <x:v>☐</x:v>
      </x:c>
      <x:c r="B402" s="11" t="n">
        <x:v>401</x:v>
      </x:c>
      <x:c r="C402" s="15" t="e">
        <x:f>HYPERLINK("https://pokecottage.com/pokemon-master-sets/kricketot","Kricketot")</x:f>
        <x:v>HYPERLINK is not implemented. linkLocation=https://pokecottage.com/pokemon-master-sets/kricketot, friendlyName=Kricketot</x:v>
      </x:c>
      <x:c r="D402" s="7" t="str">
        <x:v>Gen 4 • Sinnoh</x:v>
      </x:c>
      <x:c r="E402" s="7"/>
      <x:c r="F402" s="7"/>
    </x:row>
    <x:row r="403" ht="25" customHeight="1">
      <x:c r="A403" s="14" t="str">
        <x:v>☐</x:v>
      </x:c>
      <x:c r="B403" s="12" t="n">
        <x:v>402</x:v>
      </x:c>
      <x:c r="C403" s="16" t="e">
        <x:f>HYPERLINK("https://pokecottage.com/pokemon-master-sets/kricketune","Kricketune")</x:f>
        <x:v>HYPERLINK is not implemented. linkLocation=https://pokecottage.com/pokemon-master-sets/kricketune, friendlyName=Kricketune</x:v>
      </x:c>
      <x:c r="D403" s="8" t="str">
        <x:v>Gen 4 • Sinnoh</x:v>
      </x:c>
      <x:c r="E403" s="8"/>
      <x:c r="F403" s="8"/>
    </x:row>
    <x:row r="404" ht="25" customHeight="1">
      <x:c r="A404" s="13" t="str">
        <x:v>☐</x:v>
      </x:c>
      <x:c r="B404" s="11" t="n">
        <x:v>403</x:v>
      </x:c>
      <x:c r="C404" s="15" t="e">
        <x:f>HYPERLINK("https://pokecottage.com/pokemon-master-sets/shinx","Shinx")</x:f>
        <x:v>HYPERLINK is not implemented. linkLocation=https://pokecottage.com/pokemon-master-sets/shinx, friendlyName=Shinx</x:v>
      </x:c>
      <x:c r="D404" s="7" t="str">
        <x:v>Gen 4 • Sinnoh</x:v>
      </x:c>
      <x:c r="E404" s="7"/>
      <x:c r="F404" s="7"/>
    </x:row>
    <x:row r="405" ht="25" customHeight="1">
      <x:c r="A405" s="14" t="str">
        <x:v>☐</x:v>
      </x:c>
      <x:c r="B405" s="12" t="n">
        <x:v>404</x:v>
      </x:c>
      <x:c r="C405" s="16" t="e">
        <x:f>HYPERLINK("https://pokecottage.com/pokemon-master-sets/luxio","Luxio")</x:f>
        <x:v>HYPERLINK is not implemented. linkLocation=https://pokecottage.com/pokemon-master-sets/luxio, friendlyName=Luxio</x:v>
      </x:c>
      <x:c r="D405" s="8" t="str">
        <x:v>Gen 4 • Sinnoh</x:v>
      </x:c>
      <x:c r="E405" s="8"/>
      <x:c r="F405" s="8"/>
    </x:row>
    <x:row r="406" ht="25" customHeight="1">
      <x:c r="A406" s="13" t="str">
        <x:v>☐</x:v>
      </x:c>
      <x:c r="B406" s="11" t="n">
        <x:v>405</x:v>
      </x:c>
      <x:c r="C406" s="15" t="e">
        <x:f>HYPERLINK("https://pokecottage.com/pokemon-master-sets/luxray","Luxray")</x:f>
        <x:v>HYPERLINK is not implemented. linkLocation=https://pokecottage.com/pokemon-master-sets/luxray, friendlyName=Luxray</x:v>
      </x:c>
      <x:c r="D406" s="7" t="str">
        <x:v>Gen 4 • Sinnoh</x:v>
      </x:c>
      <x:c r="E406" s="7"/>
      <x:c r="F406" s="7"/>
    </x:row>
    <x:row r="407" ht="25" customHeight="1">
      <x:c r="A407" s="14" t="str">
        <x:v>☐</x:v>
      </x:c>
      <x:c r="B407" s="12" t="n">
        <x:v>406</x:v>
      </x:c>
      <x:c r="C407" s="16" t="e">
        <x:f>HYPERLINK("https://pokecottage.com/pokemon-master-sets/budew","Budew")</x:f>
        <x:v>HYPERLINK is not implemented. linkLocation=https://pokecottage.com/pokemon-master-sets/budew, friendlyName=Budew</x:v>
      </x:c>
      <x:c r="D407" s="8" t="str">
        <x:v>Gen 4 • Sinnoh</x:v>
      </x:c>
      <x:c r="E407" s="8"/>
      <x:c r="F407" s="8"/>
    </x:row>
    <x:row r="408" ht="25" customHeight="1">
      <x:c r="A408" s="13" t="str">
        <x:v>☐</x:v>
      </x:c>
      <x:c r="B408" s="11" t="n">
        <x:v>407</x:v>
      </x:c>
      <x:c r="C408" s="15" t="e">
        <x:f>HYPERLINK("https://pokecottage.com/pokemon-master-sets/roserade","Roserade")</x:f>
        <x:v>HYPERLINK is not implemented. linkLocation=https://pokecottage.com/pokemon-master-sets/roserade, friendlyName=Roserade</x:v>
      </x:c>
      <x:c r="D408" s="7" t="str">
        <x:v>Gen 4 • Sinnoh</x:v>
      </x:c>
      <x:c r="E408" s="7"/>
      <x:c r="F408" s="7"/>
    </x:row>
    <x:row r="409" ht="25" customHeight="1">
      <x:c r="A409" s="14" t="str">
        <x:v>☐</x:v>
      </x:c>
      <x:c r="B409" s="12" t="n">
        <x:v>408</x:v>
      </x:c>
      <x:c r="C409" s="16" t="e">
        <x:f>HYPERLINK("https://pokecottage.com/pokemon-master-sets/cranidos","Cranidos")</x:f>
        <x:v>HYPERLINK is not implemented. linkLocation=https://pokecottage.com/pokemon-master-sets/cranidos, friendlyName=Cranidos</x:v>
      </x:c>
      <x:c r="D409" s="8" t="str">
        <x:v>Gen 4 • Sinnoh</x:v>
      </x:c>
      <x:c r="E409" s="8"/>
      <x:c r="F409" s="8"/>
    </x:row>
    <x:row r="410" ht="25" customHeight="1">
      <x:c r="A410" s="13" t="str">
        <x:v>☐</x:v>
      </x:c>
      <x:c r="B410" s="11" t="n">
        <x:v>409</x:v>
      </x:c>
      <x:c r="C410" s="15" t="e">
        <x:f>HYPERLINK("https://pokecottage.com/pokemon-master-sets/rampardos","Rampardos")</x:f>
        <x:v>HYPERLINK is not implemented. linkLocation=https://pokecottage.com/pokemon-master-sets/rampardos, friendlyName=Rampardos</x:v>
      </x:c>
      <x:c r="D410" s="7" t="str">
        <x:v>Gen 4 • Sinnoh</x:v>
      </x:c>
      <x:c r="E410" s="7"/>
      <x:c r="F410" s="7"/>
    </x:row>
    <x:row r="411" ht="25" customHeight="1">
      <x:c r="A411" s="14" t="str">
        <x:v>☐</x:v>
      </x:c>
      <x:c r="B411" s="12" t="n">
        <x:v>410</x:v>
      </x:c>
      <x:c r="C411" s="16" t="e">
        <x:f>HYPERLINK("https://pokecottage.com/pokemon-master-sets/shieldon","Shieldon")</x:f>
        <x:v>HYPERLINK is not implemented. linkLocation=https://pokecottage.com/pokemon-master-sets/shieldon, friendlyName=Shieldon</x:v>
      </x:c>
      <x:c r="D411" s="8" t="str">
        <x:v>Gen 4 • Sinnoh</x:v>
      </x:c>
      <x:c r="E411" s="8"/>
      <x:c r="F411" s="8"/>
    </x:row>
    <x:row r="412" ht="25" customHeight="1">
      <x:c r="A412" s="13" t="str">
        <x:v>☐</x:v>
      </x:c>
      <x:c r="B412" s="11" t="n">
        <x:v>411</x:v>
      </x:c>
      <x:c r="C412" s="15" t="e">
        <x:f>HYPERLINK("https://pokecottage.com/pokemon-master-sets/bastiodon","Bastiodon")</x:f>
        <x:v>HYPERLINK is not implemented. linkLocation=https://pokecottage.com/pokemon-master-sets/bastiodon, friendlyName=Bastiodon</x:v>
      </x:c>
      <x:c r="D412" s="7" t="str">
        <x:v>Gen 4 • Sinnoh</x:v>
      </x:c>
      <x:c r="E412" s="7"/>
      <x:c r="F412" s="7"/>
    </x:row>
    <x:row r="413" ht="25" customHeight="1">
      <x:c r="A413" s="14" t="str">
        <x:v>☐</x:v>
      </x:c>
      <x:c r="B413" s="12" t="n">
        <x:v>412</x:v>
      </x:c>
      <x:c r="C413" s="16" t="e">
        <x:f>HYPERLINK("https://pokecottage.com/pokemon-master-sets/burmy","Burmy")</x:f>
        <x:v>HYPERLINK is not implemented. linkLocation=https://pokecottage.com/pokemon-master-sets/burmy, friendlyName=Burmy</x:v>
      </x:c>
      <x:c r="D413" s="8" t="str">
        <x:v>Gen 4 • Sinnoh</x:v>
      </x:c>
      <x:c r="E413" s="8"/>
      <x:c r="F413" s="8"/>
    </x:row>
    <x:row r="414" ht="25" customHeight="1">
      <x:c r="A414" s="13" t="str">
        <x:v>☐</x:v>
      </x:c>
      <x:c r="B414" s="11" t="n">
        <x:v>413</x:v>
      </x:c>
      <x:c r="C414" s="15" t="e">
        <x:f>HYPERLINK("https://pokecottage.com/pokemon-master-sets/wormadam","Wormadam")</x:f>
        <x:v>HYPERLINK is not implemented. linkLocation=https://pokecottage.com/pokemon-master-sets/wormadam, friendlyName=Wormadam</x:v>
      </x:c>
      <x:c r="D414" s="7" t="str">
        <x:v>Gen 4 • Sinnoh</x:v>
      </x:c>
      <x:c r="E414" s="7"/>
      <x:c r="F414" s="7"/>
    </x:row>
    <x:row r="415" ht="25" customHeight="1">
      <x:c r="A415" s="14" t="str">
        <x:v>☐</x:v>
      </x:c>
      <x:c r="B415" s="12" t="n">
        <x:v>414</x:v>
      </x:c>
      <x:c r="C415" s="16" t="e">
        <x:f>HYPERLINK("https://pokecottage.com/pokemon-master-sets/mothim","Mothim")</x:f>
        <x:v>HYPERLINK is not implemented. linkLocation=https://pokecottage.com/pokemon-master-sets/mothim, friendlyName=Mothim</x:v>
      </x:c>
      <x:c r="D415" s="8" t="str">
        <x:v>Gen 4 • Sinnoh</x:v>
      </x:c>
      <x:c r="E415" s="8"/>
      <x:c r="F415" s="8"/>
    </x:row>
    <x:row r="416" ht="25" customHeight="1">
      <x:c r="A416" s="13" t="str">
        <x:v>☐</x:v>
      </x:c>
      <x:c r="B416" s="11" t="n">
        <x:v>415</x:v>
      </x:c>
      <x:c r="C416" s="15" t="e">
        <x:f>HYPERLINK("https://pokecottage.com/pokemon-master-sets/combee","Combee")</x:f>
        <x:v>HYPERLINK is not implemented. linkLocation=https://pokecottage.com/pokemon-master-sets/combee, friendlyName=Combee</x:v>
      </x:c>
      <x:c r="D416" s="7" t="str">
        <x:v>Gen 4 • Sinnoh</x:v>
      </x:c>
      <x:c r="E416" s="7"/>
      <x:c r="F416" s="7"/>
    </x:row>
    <x:row r="417" ht="25" customHeight="1">
      <x:c r="A417" s="14" t="str">
        <x:v>☐</x:v>
      </x:c>
      <x:c r="B417" s="12" t="n">
        <x:v>416</x:v>
      </x:c>
      <x:c r="C417" s="16" t="e">
        <x:f>HYPERLINK("https://pokecottage.com/pokemon-master-sets/vespiquen","Vespiquen")</x:f>
        <x:v>HYPERLINK is not implemented. linkLocation=https://pokecottage.com/pokemon-master-sets/vespiquen, friendlyName=Vespiquen</x:v>
      </x:c>
      <x:c r="D417" s="8" t="str">
        <x:v>Gen 4 • Sinnoh</x:v>
      </x:c>
      <x:c r="E417" s="8"/>
      <x:c r="F417" s="8"/>
    </x:row>
    <x:row r="418" ht="25" customHeight="1">
      <x:c r="A418" s="13" t="str">
        <x:v>☐</x:v>
      </x:c>
      <x:c r="B418" s="11" t="n">
        <x:v>417</x:v>
      </x:c>
      <x:c r="C418" s="15" t="e">
        <x:f>HYPERLINK("https://pokecottage.com/pokemon-master-sets/pachirisu","Pachirisu")</x:f>
        <x:v>HYPERLINK is not implemented. linkLocation=https://pokecottage.com/pokemon-master-sets/pachirisu, friendlyName=Pachirisu</x:v>
      </x:c>
      <x:c r="D418" s="7" t="str">
        <x:v>Gen 4 • Sinnoh</x:v>
      </x:c>
      <x:c r="E418" s="7"/>
      <x:c r="F418" s="7"/>
    </x:row>
    <x:row r="419" ht="25" customHeight="1">
      <x:c r="A419" s="14" t="str">
        <x:v>☐</x:v>
      </x:c>
      <x:c r="B419" s="12" t="n">
        <x:v>418</x:v>
      </x:c>
      <x:c r="C419" s="16" t="e">
        <x:f>HYPERLINK("https://pokecottage.com/pokemon-master-sets/buizel","Buizel")</x:f>
        <x:v>HYPERLINK is not implemented. linkLocation=https://pokecottage.com/pokemon-master-sets/buizel, friendlyName=Buizel</x:v>
      </x:c>
      <x:c r="D419" s="8" t="str">
        <x:v>Gen 4 • Sinnoh</x:v>
      </x:c>
      <x:c r="E419" s="8"/>
      <x:c r="F419" s="8"/>
    </x:row>
    <x:row r="420" ht="25" customHeight="1">
      <x:c r="A420" s="13" t="str">
        <x:v>☐</x:v>
      </x:c>
      <x:c r="B420" s="11" t="n">
        <x:v>419</x:v>
      </x:c>
      <x:c r="C420" s="15" t="e">
        <x:f>HYPERLINK("https://pokecottage.com/pokemon-master-sets/floatzel","Floatzel")</x:f>
        <x:v>HYPERLINK is not implemented. linkLocation=https://pokecottage.com/pokemon-master-sets/floatzel, friendlyName=Floatzel</x:v>
      </x:c>
      <x:c r="D420" s="7" t="str">
        <x:v>Gen 4 • Sinnoh</x:v>
      </x:c>
      <x:c r="E420" s="7"/>
      <x:c r="F420" s="7"/>
    </x:row>
    <x:row r="421" ht="25" customHeight="1">
      <x:c r="A421" s="14" t="str">
        <x:v>☐</x:v>
      </x:c>
      <x:c r="B421" s="12" t="n">
        <x:v>420</x:v>
      </x:c>
      <x:c r="C421" s="16" t="e">
        <x:f>HYPERLINK("https://pokecottage.com/pokemon-master-sets/cherubi","Cherubi")</x:f>
        <x:v>HYPERLINK is not implemented. linkLocation=https://pokecottage.com/pokemon-master-sets/cherubi, friendlyName=Cherubi</x:v>
      </x:c>
      <x:c r="D421" s="8" t="str">
        <x:v>Gen 4 • Sinnoh</x:v>
      </x:c>
      <x:c r="E421" s="8"/>
      <x:c r="F421" s="8"/>
    </x:row>
    <x:row r="422" ht="25" customHeight="1">
      <x:c r="A422" s="13" t="str">
        <x:v>☐</x:v>
      </x:c>
      <x:c r="B422" s="11" t="n">
        <x:v>421</x:v>
      </x:c>
      <x:c r="C422" s="15" t="e">
        <x:f>HYPERLINK("https://pokecottage.com/pokemon-master-sets/cherrim","Cherrim")</x:f>
        <x:v>HYPERLINK is not implemented. linkLocation=https://pokecottage.com/pokemon-master-sets/cherrim, friendlyName=Cherrim</x:v>
      </x:c>
      <x:c r="D422" s="7" t="str">
        <x:v>Gen 4 • Sinnoh</x:v>
      </x:c>
      <x:c r="E422" s="7"/>
      <x:c r="F422" s="7"/>
    </x:row>
    <x:row r="423" ht="25" customHeight="1">
      <x:c r="A423" s="14" t="str">
        <x:v>☐</x:v>
      </x:c>
      <x:c r="B423" s="12" t="n">
        <x:v>422</x:v>
      </x:c>
      <x:c r="C423" s="16" t="e">
        <x:f>HYPERLINK("https://pokecottage.com/pokemon-master-sets/shellos","Shellos")</x:f>
        <x:v>HYPERLINK is not implemented. linkLocation=https://pokecottage.com/pokemon-master-sets/shellos, friendlyName=Shellos</x:v>
      </x:c>
      <x:c r="D423" s="8" t="str">
        <x:v>Gen 4 • Sinnoh</x:v>
      </x:c>
      <x:c r="E423" s="8"/>
      <x:c r="F423" s="8"/>
    </x:row>
    <x:row r="424" ht="25" customHeight="1">
      <x:c r="A424" s="13" t="str">
        <x:v>☐</x:v>
      </x:c>
      <x:c r="B424" s="11" t="n">
        <x:v>423</x:v>
      </x:c>
      <x:c r="C424" s="15" t="e">
        <x:f>HYPERLINK("https://pokecottage.com/pokemon-master-sets/gastrodon","Gastrodon")</x:f>
        <x:v>HYPERLINK is not implemented. linkLocation=https://pokecottage.com/pokemon-master-sets/gastrodon, friendlyName=Gastrodon</x:v>
      </x:c>
      <x:c r="D424" s="7" t="str">
        <x:v>Gen 4 • Sinnoh</x:v>
      </x:c>
      <x:c r="E424" s="7"/>
      <x:c r="F424" s="7"/>
    </x:row>
    <x:row r="425" ht="25" customHeight="1">
      <x:c r="A425" s="14" t="str">
        <x:v>☐</x:v>
      </x:c>
      <x:c r="B425" s="12" t="n">
        <x:v>424</x:v>
      </x:c>
      <x:c r="C425" s="16" t="e">
        <x:f>HYPERLINK("https://pokecottage.com/pokemon-master-sets/ambipom","Ambipom")</x:f>
        <x:v>HYPERLINK is not implemented. linkLocation=https://pokecottage.com/pokemon-master-sets/ambipom, friendlyName=Ambipom</x:v>
      </x:c>
      <x:c r="D425" s="8" t="str">
        <x:v>Gen 4 • Sinnoh</x:v>
      </x:c>
      <x:c r="E425" s="8"/>
      <x:c r="F425" s="8"/>
    </x:row>
    <x:row r="426" ht="25" customHeight="1">
      <x:c r="A426" s="13" t="str">
        <x:v>☐</x:v>
      </x:c>
      <x:c r="B426" s="11" t="n">
        <x:v>425</x:v>
      </x:c>
      <x:c r="C426" s="15" t="e">
        <x:f>HYPERLINK("https://pokecottage.com/pokemon-master-sets/drifloon","Drifloon")</x:f>
        <x:v>HYPERLINK is not implemented. linkLocation=https://pokecottage.com/pokemon-master-sets/drifloon, friendlyName=Drifloon</x:v>
      </x:c>
      <x:c r="D426" s="7" t="str">
        <x:v>Gen 4 • Sinnoh</x:v>
      </x:c>
      <x:c r="E426" s="7"/>
      <x:c r="F426" s="7"/>
    </x:row>
    <x:row r="427" ht="25" customHeight="1">
      <x:c r="A427" s="14" t="str">
        <x:v>☐</x:v>
      </x:c>
      <x:c r="B427" s="12" t="n">
        <x:v>426</x:v>
      </x:c>
      <x:c r="C427" s="16" t="e">
        <x:f>HYPERLINK("https://pokecottage.com/pokemon-master-sets/drifblim","Drifblim")</x:f>
        <x:v>HYPERLINK is not implemented. linkLocation=https://pokecottage.com/pokemon-master-sets/drifblim, friendlyName=Drifblim</x:v>
      </x:c>
      <x:c r="D427" s="8" t="str">
        <x:v>Gen 4 • Sinnoh</x:v>
      </x:c>
      <x:c r="E427" s="8"/>
      <x:c r="F427" s="8"/>
    </x:row>
    <x:row r="428" ht="25" customHeight="1">
      <x:c r="A428" s="13" t="str">
        <x:v>☐</x:v>
      </x:c>
      <x:c r="B428" s="11" t="n">
        <x:v>427</x:v>
      </x:c>
      <x:c r="C428" s="15" t="e">
        <x:f>HYPERLINK("https://pokecottage.com/pokemon-master-sets/buneary","Buneary")</x:f>
        <x:v>HYPERLINK is not implemented. linkLocation=https://pokecottage.com/pokemon-master-sets/buneary, friendlyName=Buneary</x:v>
      </x:c>
      <x:c r="D428" s="7" t="str">
        <x:v>Gen 4 • Sinnoh</x:v>
      </x:c>
      <x:c r="E428" s="7"/>
      <x:c r="F428" s="7"/>
    </x:row>
    <x:row r="429" ht="25" customHeight="1">
      <x:c r="A429" s="14" t="str">
        <x:v>☐</x:v>
      </x:c>
      <x:c r="B429" s="12" t="n">
        <x:v>428</x:v>
      </x:c>
      <x:c r="C429" s="16" t="e">
        <x:f>HYPERLINK("https://pokecottage.com/pokemon-master-sets/lopunny","Lopunny")</x:f>
        <x:v>HYPERLINK is not implemented. linkLocation=https://pokecottage.com/pokemon-master-sets/lopunny, friendlyName=Lopunny</x:v>
      </x:c>
      <x:c r="D429" s="8" t="str">
        <x:v>Gen 4 • Sinnoh</x:v>
      </x:c>
      <x:c r="E429" s="8"/>
      <x:c r="F429" s="8"/>
    </x:row>
    <x:row r="430" ht="25" customHeight="1">
      <x:c r="A430" s="13" t="str">
        <x:v>☐</x:v>
      </x:c>
      <x:c r="B430" s="11" t="n">
        <x:v>429</x:v>
      </x:c>
      <x:c r="C430" s="15" t="e">
        <x:f>HYPERLINK("https://pokecottage.com/pokemon-master-sets/mismagius","Mismagius")</x:f>
        <x:v>HYPERLINK is not implemented. linkLocation=https://pokecottage.com/pokemon-master-sets/mismagius, friendlyName=Mismagius</x:v>
      </x:c>
      <x:c r="D430" s="7" t="str">
        <x:v>Gen 4 • Sinnoh</x:v>
      </x:c>
      <x:c r="E430" s="7"/>
      <x:c r="F430" s="7"/>
    </x:row>
    <x:row r="431" ht="25" customHeight="1">
      <x:c r="A431" s="14" t="str">
        <x:v>☐</x:v>
      </x:c>
      <x:c r="B431" s="12" t="n">
        <x:v>430</x:v>
      </x:c>
      <x:c r="C431" s="16" t="e">
        <x:f>HYPERLINK("https://pokecottage.com/pokemon-master-sets/honchkrow","Honchkrow")</x:f>
        <x:v>HYPERLINK is not implemented. linkLocation=https://pokecottage.com/pokemon-master-sets/honchkrow, friendlyName=Honchkrow</x:v>
      </x:c>
      <x:c r="D431" s="8" t="str">
        <x:v>Gen 4 • Sinnoh</x:v>
      </x:c>
      <x:c r="E431" s="8"/>
      <x:c r="F431" s="8"/>
    </x:row>
    <x:row r="432" ht="25" customHeight="1">
      <x:c r="A432" s="13" t="str">
        <x:v>☐</x:v>
      </x:c>
      <x:c r="B432" s="11" t="n">
        <x:v>431</x:v>
      </x:c>
      <x:c r="C432" s="15" t="e">
        <x:f>HYPERLINK("https://pokecottage.com/pokemon-master-sets/glameow","Glameow")</x:f>
        <x:v>HYPERLINK is not implemented. linkLocation=https://pokecottage.com/pokemon-master-sets/glameow, friendlyName=Glameow</x:v>
      </x:c>
      <x:c r="D432" s="7" t="str">
        <x:v>Gen 4 • Sinnoh</x:v>
      </x:c>
      <x:c r="E432" s="7"/>
      <x:c r="F432" s="7"/>
    </x:row>
    <x:row r="433" ht="25" customHeight="1">
      <x:c r="A433" s="14" t="str">
        <x:v>☐</x:v>
      </x:c>
      <x:c r="B433" s="12" t="n">
        <x:v>432</x:v>
      </x:c>
      <x:c r="C433" s="16" t="e">
        <x:f>HYPERLINK("https://pokecottage.com/pokemon-master-sets/purugly","Purugly")</x:f>
        <x:v>HYPERLINK is not implemented. linkLocation=https://pokecottage.com/pokemon-master-sets/purugly, friendlyName=Purugly</x:v>
      </x:c>
      <x:c r="D433" s="8" t="str">
        <x:v>Gen 4 • Sinnoh</x:v>
      </x:c>
      <x:c r="E433" s="8"/>
      <x:c r="F433" s="8"/>
    </x:row>
    <x:row r="434" ht="25" customHeight="1">
      <x:c r="A434" s="13" t="str">
        <x:v>☐</x:v>
      </x:c>
      <x:c r="B434" s="11" t="n">
        <x:v>433</x:v>
      </x:c>
      <x:c r="C434" s="15" t="e">
        <x:f>HYPERLINK("https://pokecottage.com/pokemon-master-sets/chingling","Chingling")</x:f>
        <x:v>HYPERLINK is not implemented. linkLocation=https://pokecottage.com/pokemon-master-sets/chingling, friendlyName=Chingling</x:v>
      </x:c>
      <x:c r="D434" s="7" t="str">
        <x:v>Gen 4 • Sinnoh</x:v>
      </x:c>
      <x:c r="E434" s="7"/>
      <x:c r="F434" s="7"/>
    </x:row>
    <x:row r="435" ht="25" customHeight="1">
      <x:c r="A435" s="14" t="str">
        <x:v>☐</x:v>
      </x:c>
      <x:c r="B435" s="12" t="n">
        <x:v>434</x:v>
      </x:c>
      <x:c r="C435" s="16" t="e">
        <x:f>HYPERLINK("https://pokecottage.com/pokemon-master-sets/stunky","Stunky")</x:f>
        <x:v>HYPERLINK is not implemented. linkLocation=https://pokecottage.com/pokemon-master-sets/stunky, friendlyName=Stunky</x:v>
      </x:c>
      <x:c r="D435" s="8" t="str">
        <x:v>Gen 4 • Sinnoh</x:v>
      </x:c>
      <x:c r="E435" s="8"/>
      <x:c r="F435" s="8"/>
    </x:row>
    <x:row r="436" ht="25" customHeight="1">
      <x:c r="A436" s="13" t="str">
        <x:v>☐</x:v>
      </x:c>
      <x:c r="B436" s="11" t="n">
        <x:v>435</x:v>
      </x:c>
      <x:c r="C436" s="15" t="e">
        <x:f>HYPERLINK("https://pokecottage.com/pokemon-master-sets/skuntank","Skuntank")</x:f>
        <x:v>HYPERLINK is not implemented. linkLocation=https://pokecottage.com/pokemon-master-sets/skuntank, friendlyName=Skuntank</x:v>
      </x:c>
      <x:c r="D436" s="7" t="str">
        <x:v>Gen 4 • Sinnoh</x:v>
      </x:c>
      <x:c r="E436" s="7"/>
      <x:c r="F436" s="7"/>
    </x:row>
    <x:row r="437" ht="25" customHeight="1">
      <x:c r="A437" s="14" t="str">
        <x:v>☐</x:v>
      </x:c>
      <x:c r="B437" s="12" t="n">
        <x:v>436</x:v>
      </x:c>
      <x:c r="C437" s="16" t="e">
        <x:f>HYPERLINK("https://pokecottage.com/pokemon-master-sets/bronzor","Bronzor")</x:f>
        <x:v>HYPERLINK is not implemented. linkLocation=https://pokecottage.com/pokemon-master-sets/bronzor, friendlyName=Bronzor</x:v>
      </x:c>
      <x:c r="D437" s="8" t="str">
        <x:v>Gen 4 • Sinnoh</x:v>
      </x:c>
      <x:c r="E437" s="8"/>
      <x:c r="F437" s="8"/>
    </x:row>
    <x:row r="438" ht="25" customHeight="1">
      <x:c r="A438" s="13" t="str">
        <x:v>☐</x:v>
      </x:c>
      <x:c r="B438" s="11" t="n">
        <x:v>437</x:v>
      </x:c>
      <x:c r="C438" s="15" t="e">
        <x:f>HYPERLINK("https://pokecottage.com/pokemon-master-sets/bronzong","Bronzong")</x:f>
        <x:v>HYPERLINK is not implemented. linkLocation=https://pokecottage.com/pokemon-master-sets/bronzong, friendlyName=Bronzong</x:v>
      </x:c>
      <x:c r="D438" s="7" t="str">
        <x:v>Gen 4 • Sinnoh</x:v>
      </x:c>
      <x:c r="E438" s="7"/>
      <x:c r="F438" s="7"/>
    </x:row>
    <x:row r="439" ht="25" customHeight="1">
      <x:c r="A439" s="14" t="str">
        <x:v>☐</x:v>
      </x:c>
      <x:c r="B439" s="12" t="n">
        <x:v>438</x:v>
      </x:c>
      <x:c r="C439" s="16" t="e">
        <x:f>HYPERLINK("https://pokecottage.com/pokemon-master-sets/bonsly","Bonsly")</x:f>
        <x:v>HYPERLINK is not implemented. linkLocation=https://pokecottage.com/pokemon-master-sets/bonsly, friendlyName=Bonsly</x:v>
      </x:c>
      <x:c r="D439" s="8" t="str">
        <x:v>Gen 4 • Sinnoh</x:v>
      </x:c>
      <x:c r="E439" s="8"/>
      <x:c r="F439" s="8"/>
    </x:row>
    <x:row r="440" ht="25" customHeight="1">
      <x:c r="A440" s="13" t="str">
        <x:v>☐</x:v>
      </x:c>
      <x:c r="B440" s="11" t="n">
        <x:v>439</x:v>
      </x:c>
      <x:c r="C440" s="15" t="e">
        <x:f>HYPERLINK("https://pokecottage.com/pokemon-master-sets/mime-jr","Mime Jr.")</x:f>
        <x:v>HYPERLINK is not implemented. linkLocation=https://pokecottage.com/pokemon-master-sets/mime-jr, friendlyName=Mime Jr.</x:v>
      </x:c>
      <x:c r="D440" s="7" t="str">
        <x:v>Gen 4 • Sinnoh</x:v>
      </x:c>
      <x:c r="E440" s="7"/>
      <x:c r="F440" s="7"/>
    </x:row>
    <x:row r="441" ht="25" customHeight="1">
      <x:c r="A441" s="14" t="str">
        <x:v>☐</x:v>
      </x:c>
      <x:c r="B441" s="12" t="n">
        <x:v>440</x:v>
      </x:c>
      <x:c r="C441" s="16" t="e">
        <x:f>HYPERLINK("https://pokecottage.com/pokemon-master-sets/happiny","Happiny")</x:f>
        <x:v>HYPERLINK is not implemented. linkLocation=https://pokecottage.com/pokemon-master-sets/happiny, friendlyName=Happiny</x:v>
      </x:c>
      <x:c r="D441" s="8" t="str">
        <x:v>Gen 4 • Sinnoh</x:v>
      </x:c>
      <x:c r="E441" s="8"/>
      <x:c r="F441" s="8"/>
    </x:row>
    <x:row r="442" ht="25" customHeight="1">
      <x:c r="A442" s="13" t="str">
        <x:v>☐</x:v>
      </x:c>
      <x:c r="B442" s="11" t="n">
        <x:v>441</x:v>
      </x:c>
      <x:c r="C442" s="15" t="e">
        <x:f>HYPERLINK("https://pokecottage.com/pokemon-master-sets/chatot","Chatot")</x:f>
        <x:v>HYPERLINK is not implemented. linkLocation=https://pokecottage.com/pokemon-master-sets/chatot, friendlyName=Chatot</x:v>
      </x:c>
      <x:c r="D442" s="7" t="str">
        <x:v>Gen 4 • Sinnoh</x:v>
      </x:c>
      <x:c r="E442" s="7"/>
      <x:c r="F442" s="7"/>
    </x:row>
    <x:row r="443" ht="25" customHeight="1">
      <x:c r="A443" s="14" t="str">
        <x:v>☐</x:v>
      </x:c>
      <x:c r="B443" s="12" t="n">
        <x:v>442</x:v>
      </x:c>
      <x:c r="C443" s="16" t="e">
        <x:f>HYPERLINK("https://pokecottage.com/pokemon-master-sets/spiritomb","Spiritomb")</x:f>
        <x:v>HYPERLINK is not implemented. linkLocation=https://pokecottage.com/pokemon-master-sets/spiritomb, friendlyName=Spiritomb</x:v>
      </x:c>
      <x:c r="D443" s="8" t="str">
        <x:v>Gen 4 • Sinnoh</x:v>
      </x:c>
      <x:c r="E443" s="8"/>
      <x:c r="F443" s="8"/>
    </x:row>
    <x:row r="444" ht="25" customHeight="1">
      <x:c r="A444" s="13" t="str">
        <x:v>☐</x:v>
      </x:c>
      <x:c r="B444" s="11" t="n">
        <x:v>443</x:v>
      </x:c>
      <x:c r="C444" s="15" t="e">
        <x:f>HYPERLINK("https://pokecottage.com/pokemon-master-sets/gible","Gible")</x:f>
        <x:v>HYPERLINK is not implemented. linkLocation=https://pokecottage.com/pokemon-master-sets/gible, friendlyName=Gible</x:v>
      </x:c>
      <x:c r="D444" s="7" t="str">
        <x:v>Gen 4 • Sinnoh</x:v>
      </x:c>
      <x:c r="E444" s="7"/>
      <x:c r="F444" s="7"/>
    </x:row>
    <x:row r="445" ht="25" customHeight="1">
      <x:c r="A445" s="14" t="str">
        <x:v>☐</x:v>
      </x:c>
      <x:c r="B445" s="12" t="n">
        <x:v>444</x:v>
      </x:c>
      <x:c r="C445" s="16" t="e">
        <x:f>HYPERLINK("https://pokecottage.com/pokemon-master-sets/gabite","Gabite")</x:f>
        <x:v>HYPERLINK is not implemented. linkLocation=https://pokecottage.com/pokemon-master-sets/gabite, friendlyName=Gabite</x:v>
      </x:c>
      <x:c r="D445" s="8" t="str">
        <x:v>Gen 4 • Sinnoh</x:v>
      </x:c>
      <x:c r="E445" s="8"/>
      <x:c r="F445" s="8"/>
    </x:row>
    <x:row r="446" ht="25" customHeight="1">
      <x:c r="A446" s="13" t="str">
        <x:v>☐</x:v>
      </x:c>
      <x:c r="B446" s="11" t="n">
        <x:v>445</x:v>
      </x:c>
      <x:c r="C446" s="15" t="e">
        <x:f>HYPERLINK("https://pokecottage.com/pokemon-master-sets/garchomp","Garchomp")</x:f>
        <x:v>HYPERLINK is not implemented. linkLocation=https://pokecottage.com/pokemon-master-sets/garchomp, friendlyName=Garchomp</x:v>
      </x:c>
      <x:c r="D446" s="7" t="str">
        <x:v>Gen 4 • Sinnoh</x:v>
      </x:c>
      <x:c r="E446" s="7"/>
      <x:c r="F446" s="7"/>
    </x:row>
    <x:row r="447" ht="25" customHeight="1">
      <x:c r="A447" s="14" t="str">
        <x:v>☐</x:v>
      </x:c>
      <x:c r="B447" s="12" t="n">
        <x:v>446</x:v>
      </x:c>
      <x:c r="C447" s="16" t="e">
        <x:f>HYPERLINK("https://pokecottage.com/pokemon-master-sets/munchlax","Munchlax")</x:f>
        <x:v>HYPERLINK is not implemented. linkLocation=https://pokecottage.com/pokemon-master-sets/munchlax, friendlyName=Munchlax</x:v>
      </x:c>
      <x:c r="D447" s="8" t="str">
        <x:v>Gen 4 • Sinnoh</x:v>
      </x:c>
      <x:c r="E447" s="8"/>
      <x:c r="F447" s="8"/>
    </x:row>
    <x:row r="448" ht="25" customHeight="1">
      <x:c r="A448" s="13" t="str">
        <x:v>☐</x:v>
      </x:c>
      <x:c r="B448" s="11" t="n">
        <x:v>447</x:v>
      </x:c>
      <x:c r="C448" s="15" t="e">
        <x:f>HYPERLINK("https://pokecottage.com/pokemon-master-sets/riolu","Riolu")</x:f>
        <x:v>HYPERLINK is not implemented. linkLocation=https://pokecottage.com/pokemon-master-sets/riolu, friendlyName=Riolu</x:v>
      </x:c>
      <x:c r="D448" s="7" t="str">
        <x:v>Gen 4 • Sinnoh</x:v>
      </x:c>
      <x:c r="E448" s="7"/>
      <x:c r="F448" s="7"/>
    </x:row>
    <x:row r="449" ht="25" customHeight="1">
      <x:c r="A449" s="14" t="str">
        <x:v>☐</x:v>
      </x:c>
      <x:c r="B449" s="12" t="n">
        <x:v>448</x:v>
      </x:c>
      <x:c r="C449" s="16" t="e">
        <x:f>HYPERLINK("https://pokecottage.com/pokemon-master-sets/lucario","Lucario")</x:f>
        <x:v>HYPERLINK is not implemented. linkLocation=https://pokecottage.com/pokemon-master-sets/lucario, friendlyName=Lucario</x:v>
      </x:c>
      <x:c r="D449" s="8" t="str">
        <x:v>Gen 4 • Sinnoh</x:v>
      </x:c>
      <x:c r="E449" s="8"/>
      <x:c r="F449" s="8"/>
    </x:row>
    <x:row r="450" ht="25" customHeight="1">
      <x:c r="A450" s="13" t="str">
        <x:v>☐</x:v>
      </x:c>
      <x:c r="B450" s="11" t="n">
        <x:v>449</x:v>
      </x:c>
      <x:c r="C450" s="15" t="e">
        <x:f>HYPERLINK("https://pokecottage.com/pokemon-master-sets/hippopotas","Hippopotas")</x:f>
        <x:v>HYPERLINK is not implemented. linkLocation=https://pokecottage.com/pokemon-master-sets/hippopotas, friendlyName=Hippopotas</x:v>
      </x:c>
      <x:c r="D450" s="7" t="str">
        <x:v>Gen 4 • Sinnoh</x:v>
      </x:c>
      <x:c r="E450" s="7"/>
      <x:c r="F450" s="7"/>
    </x:row>
    <x:row r="451" ht="25" customHeight="1">
      <x:c r="A451" s="14" t="str">
        <x:v>☐</x:v>
      </x:c>
      <x:c r="B451" s="12" t="n">
        <x:v>450</x:v>
      </x:c>
      <x:c r="C451" s="16" t="e">
        <x:f>HYPERLINK("https://pokecottage.com/pokemon-master-sets/hippowdon","Hippowdon")</x:f>
        <x:v>HYPERLINK is not implemented. linkLocation=https://pokecottage.com/pokemon-master-sets/hippowdon, friendlyName=Hippowdon</x:v>
      </x:c>
      <x:c r="D451" s="8" t="str">
        <x:v>Gen 4 • Sinnoh</x:v>
      </x:c>
      <x:c r="E451" s="8"/>
      <x:c r="F451" s="8"/>
    </x:row>
    <x:row r="452" ht="25" customHeight="1">
      <x:c r="A452" s="13" t="str">
        <x:v>☐</x:v>
      </x:c>
      <x:c r="B452" s="11" t="n">
        <x:v>451</x:v>
      </x:c>
      <x:c r="C452" s="15" t="e">
        <x:f>HYPERLINK("https://pokecottage.com/pokemon-master-sets/skorupi","Skorupi")</x:f>
        <x:v>HYPERLINK is not implemented. linkLocation=https://pokecottage.com/pokemon-master-sets/skorupi, friendlyName=Skorupi</x:v>
      </x:c>
      <x:c r="D452" s="7" t="str">
        <x:v>Gen 4 • Sinnoh</x:v>
      </x:c>
      <x:c r="E452" s="7"/>
      <x:c r="F452" s="7"/>
    </x:row>
    <x:row r="453" ht="25" customHeight="1">
      <x:c r="A453" s="14" t="str">
        <x:v>☐</x:v>
      </x:c>
      <x:c r="B453" s="12" t="n">
        <x:v>452</x:v>
      </x:c>
      <x:c r="C453" s="16" t="e">
        <x:f>HYPERLINK("https://pokecottage.com/pokemon-master-sets/drapion","Drapion")</x:f>
        <x:v>HYPERLINK is not implemented. linkLocation=https://pokecottage.com/pokemon-master-sets/drapion, friendlyName=Drapion</x:v>
      </x:c>
      <x:c r="D453" s="8" t="str">
        <x:v>Gen 4 • Sinnoh</x:v>
      </x:c>
      <x:c r="E453" s="8"/>
      <x:c r="F453" s="8"/>
    </x:row>
    <x:row r="454" ht="25" customHeight="1">
      <x:c r="A454" s="13" t="str">
        <x:v>☐</x:v>
      </x:c>
      <x:c r="B454" s="11" t="n">
        <x:v>453</x:v>
      </x:c>
      <x:c r="C454" s="15" t="e">
        <x:f>HYPERLINK("https://pokecottage.com/pokemon-master-sets/croagunk","Croagunk")</x:f>
        <x:v>HYPERLINK is not implemented. linkLocation=https://pokecottage.com/pokemon-master-sets/croagunk, friendlyName=Croagunk</x:v>
      </x:c>
      <x:c r="D454" s="7" t="str">
        <x:v>Gen 4 • Sinnoh</x:v>
      </x:c>
      <x:c r="E454" s="7"/>
      <x:c r="F454" s="7"/>
    </x:row>
    <x:row r="455" ht="25" customHeight="1">
      <x:c r="A455" s="14" t="str">
        <x:v>☐</x:v>
      </x:c>
      <x:c r="B455" s="12" t="n">
        <x:v>454</x:v>
      </x:c>
      <x:c r="C455" s="16" t="e">
        <x:f>HYPERLINK("https://pokecottage.com/pokemon-master-sets/toxicroak","Toxicroak")</x:f>
        <x:v>HYPERLINK is not implemented. linkLocation=https://pokecottage.com/pokemon-master-sets/toxicroak, friendlyName=Toxicroak</x:v>
      </x:c>
      <x:c r="D455" s="8" t="str">
        <x:v>Gen 4 • Sinnoh</x:v>
      </x:c>
      <x:c r="E455" s="8"/>
      <x:c r="F455" s="8"/>
    </x:row>
    <x:row r="456" ht="25" customHeight="1">
      <x:c r="A456" s="13" t="str">
        <x:v>☐</x:v>
      </x:c>
      <x:c r="B456" s="11" t="n">
        <x:v>455</x:v>
      </x:c>
      <x:c r="C456" s="15" t="e">
        <x:f>HYPERLINK("https://pokecottage.com/pokemon-master-sets/carnivine","Carnivine")</x:f>
        <x:v>HYPERLINK is not implemented. linkLocation=https://pokecottage.com/pokemon-master-sets/carnivine, friendlyName=Carnivine</x:v>
      </x:c>
      <x:c r="D456" s="7" t="str">
        <x:v>Gen 4 • Sinnoh</x:v>
      </x:c>
      <x:c r="E456" s="7"/>
      <x:c r="F456" s="7"/>
    </x:row>
    <x:row r="457" ht="25" customHeight="1">
      <x:c r="A457" s="14" t="str">
        <x:v>☐</x:v>
      </x:c>
      <x:c r="B457" s="12" t="n">
        <x:v>456</x:v>
      </x:c>
      <x:c r="C457" s="16" t="e">
        <x:f>HYPERLINK("https://pokecottage.com/pokemon-master-sets/finneon","Finneon")</x:f>
        <x:v>HYPERLINK is not implemented. linkLocation=https://pokecottage.com/pokemon-master-sets/finneon, friendlyName=Finneon</x:v>
      </x:c>
      <x:c r="D457" s="8" t="str">
        <x:v>Gen 4 • Sinnoh</x:v>
      </x:c>
      <x:c r="E457" s="8"/>
      <x:c r="F457" s="8"/>
    </x:row>
    <x:row r="458" ht="25" customHeight="1">
      <x:c r="A458" s="13" t="str">
        <x:v>☐</x:v>
      </x:c>
      <x:c r="B458" s="11" t="n">
        <x:v>457</x:v>
      </x:c>
      <x:c r="C458" s="15" t="e">
        <x:f>HYPERLINK("https://pokecottage.com/pokemon-master-sets/lumineon","Lumineon")</x:f>
        <x:v>HYPERLINK is not implemented. linkLocation=https://pokecottage.com/pokemon-master-sets/lumineon, friendlyName=Lumineon</x:v>
      </x:c>
      <x:c r="D458" s="7" t="str">
        <x:v>Gen 4 • Sinnoh</x:v>
      </x:c>
      <x:c r="E458" s="7"/>
      <x:c r="F458" s="7"/>
    </x:row>
    <x:row r="459" ht="25" customHeight="1">
      <x:c r="A459" s="14" t="str">
        <x:v>☐</x:v>
      </x:c>
      <x:c r="B459" s="12" t="n">
        <x:v>458</x:v>
      </x:c>
      <x:c r="C459" s="16" t="e">
        <x:f>HYPERLINK("https://pokecottage.com/pokemon-master-sets/mantyke","Mantyke")</x:f>
        <x:v>HYPERLINK is not implemented. linkLocation=https://pokecottage.com/pokemon-master-sets/mantyke, friendlyName=Mantyke</x:v>
      </x:c>
      <x:c r="D459" s="8" t="str">
        <x:v>Gen 4 • Sinnoh</x:v>
      </x:c>
      <x:c r="E459" s="8"/>
      <x:c r="F459" s="8"/>
    </x:row>
    <x:row r="460" ht="25" customHeight="1">
      <x:c r="A460" s="13" t="str">
        <x:v>☐</x:v>
      </x:c>
      <x:c r="B460" s="11" t="n">
        <x:v>459</x:v>
      </x:c>
      <x:c r="C460" s="15" t="e">
        <x:f>HYPERLINK("https://pokecottage.com/pokemon-master-sets/snover","Snover")</x:f>
        <x:v>HYPERLINK is not implemented. linkLocation=https://pokecottage.com/pokemon-master-sets/snover, friendlyName=Snover</x:v>
      </x:c>
      <x:c r="D460" s="7" t="str">
        <x:v>Gen 4 • Sinnoh</x:v>
      </x:c>
      <x:c r="E460" s="7"/>
      <x:c r="F460" s="7"/>
    </x:row>
    <x:row r="461" ht="25" customHeight="1">
      <x:c r="A461" s="14" t="str">
        <x:v>☐</x:v>
      </x:c>
      <x:c r="B461" s="12" t="n">
        <x:v>460</x:v>
      </x:c>
      <x:c r="C461" s="16" t="e">
        <x:f>HYPERLINK("https://pokecottage.com/pokemon-master-sets/abomasnow","Abomasnow")</x:f>
        <x:v>HYPERLINK is not implemented. linkLocation=https://pokecottage.com/pokemon-master-sets/abomasnow, friendlyName=Abomasnow</x:v>
      </x:c>
      <x:c r="D461" s="8" t="str">
        <x:v>Gen 4 • Sinnoh</x:v>
      </x:c>
      <x:c r="E461" s="8"/>
      <x:c r="F461" s="8"/>
    </x:row>
    <x:row r="462" ht="25" customHeight="1">
      <x:c r="A462" s="13" t="str">
        <x:v>☐</x:v>
      </x:c>
      <x:c r="B462" s="11" t="n">
        <x:v>461</x:v>
      </x:c>
      <x:c r="C462" s="15" t="e">
        <x:f>HYPERLINK("https://pokecottage.com/pokemon-master-sets/weavile","Weavile")</x:f>
        <x:v>HYPERLINK is not implemented. linkLocation=https://pokecottage.com/pokemon-master-sets/weavile, friendlyName=Weavile</x:v>
      </x:c>
      <x:c r="D462" s="7" t="str">
        <x:v>Gen 4 • Sinnoh</x:v>
      </x:c>
      <x:c r="E462" s="7"/>
      <x:c r="F462" s="7"/>
    </x:row>
    <x:row r="463" ht="25" customHeight="1">
      <x:c r="A463" s="14" t="str">
        <x:v>☐</x:v>
      </x:c>
      <x:c r="B463" s="12" t="n">
        <x:v>462</x:v>
      </x:c>
      <x:c r="C463" s="16" t="e">
        <x:f>HYPERLINK("https://pokecottage.com/pokemon-master-sets/magnezone","Magnezone")</x:f>
        <x:v>HYPERLINK is not implemented. linkLocation=https://pokecottage.com/pokemon-master-sets/magnezone, friendlyName=Magnezone</x:v>
      </x:c>
      <x:c r="D463" s="8" t="str">
        <x:v>Gen 4 • Sinnoh</x:v>
      </x:c>
      <x:c r="E463" s="8"/>
      <x:c r="F463" s="8"/>
    </x:row>
    <x:row r="464" ht="25" customHeight="1">
      <x:c r="A464" s="13" t="str">
        <x:v>☐</x:v>
      </x:c>
      <x:c r="B464" s="11" t="n">
        <x:v>463</x:v>
      </x:c>
      <x:c r="C464" s="15" t="e">
        <x:f>HYPERLINK("https://pokecottage.com/pokemon-master-sets/lickilicky","Lickilicky")</x:f>
        <x:v>HYPERLINK is not implemented. linkLocation=https://pokecottage.com/pokemon-master-sets/lickilicky, friendlyName=Lickilicky</x:v>
      </x:c>
      <x:c r="D464" s="7" t="str">
        <x:v>Gen 4 • Sinnoh</x:v>
      </x:c>
      <x:c r="E464" s="7"/>
      <x:c r="F464" s="7"/>
    </x:row>
    <x:row r="465" ht="25" customHeight="1">
      <x:c r="A465" s="14" t="str">
        <x:v>☐</x:v>
      </x:c>
      <x:c r="B465" s="12" t="n">
        <x:v>464</x:v>
      </x:c>
      <x:c r="C465" s="16" t="e">
        <x:f>HYPERLINK("https://pokecottage.com/pokemon-master-sets/rhyperior","Rhyperior")</x:f>
        <x:v>HYPERLINK is not implemented. linkLocation=https://pokecottage.com/pokemon-master-sets/rhyperior, friendlyName=Rhyperior</x:v>
      </x:c>
      <x:c r="D465" s="8" t="str">
        <x:v>Gen 4 • Sinnoh</x:v>
      </x:c>
      <x:c r="E465" s="8"/>
      <x:c r="F465" s="8"/>
    </x:row>
    <x:row r="466" ht="25" customHeight="1">
      <x:c r="A466" s="13" t="str">
        <x:v>☐</x:v>
      </x:c>
      <x:c r="B466" s="11" t="n">
        <x:v>465</x:v>
      </x:c>
      <x:c r="C466" s="15" t="e">
        <x:f>HYPERLINK("https://pokecottage.com/pokemon-master-sets/tangrowth","Tangrowth")</x:f>
        <x:v>HYPERLINK is not implemented. linkLocation=https://pokecottage.com/pokemon-master-sets/tangrowth, friendlyName=Tangrowth</x:v>
      </x:c>
      <x:c r="D466" s="7" t="str">
        <x:v>Gen 4 • Sinnoh</x:v>
      </x:c>
      <x:c r="E466" s="7"/>
      <x:c r="F466" s="7"/>
    </x:row>
    <x:row r="467" ht="25" customHeight="1">
      <x:c r="A467" s="14" t="str">
        <x:v>☐</x:v>
      </x:c>
      <x:c r="B467" s="12" t="n">
        <x:v>466</x:v>
      </x:c>
      <x:c r="C467" s="16" t="e">
        <x:f>HYPERLINK("https://pokecottage.com/pokemon-master-sets/electivire","Electivire")</x:f>
        <x:v>HYPERLINK is not implemented. linkLocation=https://pokecottage.com/pokemon-master-sets/electivire, friendlyName=Electivire</x:v>
      </x:c>
      <x:c r="D467" s="8" t="str">
        <x:v>Gen 4 • Sinnoh</x:v>
      </x:c>
      <x:c r="E467" s="8"/>
      <x:c r="F467" s="8"/>
    </x:row>
    <x:row r="468" ht="25" customHeight="1">
      <x:c r="A468" s="13" t="str">
        <x:v>☐</x:v>
      </x:c>
      <x:c r="B468" s="11" t="n">
        <x:v>467</x:v>
      </x:c>
      <x:c r="C468" s="15" t="e">
        <x:f>HYPERLINK("https://pokecottage.com/pokemon-master-sets/magmortar","Magmortar")</x:f>
        <x:v>HYPERLINK is not implemented. linkLocation=https://pokecottage.com/pokemon-master-sets/magmortar, friendlyName=Magmortar</x:v>
      </x:c>
      <x:c r="D468" s="7" t="str">
        <x:v>Gen 4 • Sinnoh</x:v>
      </x:c>
      <x:c r="E468" s="7"/>
      <x:c r="F468" s="7"/>
    </x:row>
    <x:row r="469" ht="25" customHeight="1">
      <x:c r="A469" s="14" t="str">
        <x:v>☐</x:v>
      </x:c>
      <x:c r="B469" s="12" t="n">
        <x:v>468</x:v>
      </x:c>
      <x:c r="C469" s="16" t="e">
        <x:f>HYPERLINK("https://pokecottage.com/pokemon-master-sets/togekiss","Togekiss")</x:f>
        <x:v>HYPERLINK is not implemented. linkLocation=https://pokecottage.com/pokemon-master-sets/togekiss, friendlyName=Togekiss</x:v>
      </x:c>
      <x:c r="D469" s="8" t="str">
        <x:v>Gen 4 • Sinnoh</x:v>
      </x:c>
      <x:c r="E469" s="8"/>
      <x:c r="F469" s="8"/>
    </x:row>
    <x:row r="470" ht="25" customHeight="1">
      <x:c r="A470" s="13" t="str">
        <x:v>☐</x:v>
      </x:c>
      <x:c r="B470" s="11" t="n">
        <x:v>469</x:v>
      </x:c>
      <x:c r="C470" s="15" t="e">
        <x:f>HYPERLINK("https://pokecottage.com/pokemon-master-sets/yanmega","Yanmega")</x:f>
        <x:v>HYPERLINK is not implemented. linkLocation=https://pokecottage.com/pokemon-master-sets/yanmega, friendlyName=Yanmega</x:v>
      </x:c>
      <x:c r="D470" s="7" t="str">
        <x:v>Gen 4 • Sinnoh</x:v>
      </x:c>
      <x:c r="E470" s="7"/>
      <x:c r="F470" s="7"/>
    </x:row>
    <x:row r="471" ht="25" customHeight="1">
      <x:c r="A471" s="14" t="str">
        <x:v>☐</x:v>
      </x:c>
      <x:c r="B471" s="12" t="n">
        <x:v>470</x:v>
      </x:c>
      <x:c r="C471" s="16" t="e">
        <x:f>HYPERLINK("https://pokecottage.com/pokemon-master-sets/leafeon","Leafeon")</x:f>
        <x:v>HYPERLINK is not implemented. linkLocation=https://pokecottage.com/pokemon-master-sets/leafeon, friendlyName=Leafeon</x:v>
      </x:c>
      <x:c r="D471" s="8" t="str">
        <x:v>Gen 4 • Sinnoh</x:v>
      </x:c>
      <x:c r="E471" s="8"/>
      <x:c r="F471" s="8"/>
    </x:row>
    <x:row r="472" ht="25" customHeight="1">
      <x:c r="A472" s="13" t="str">
        <x:v>☐</x:v>
      </x:c>
      <x:c r="B472" s="11" t="n">
        <x:v>471</x:v>
      </x:c>
      <x:c r="C472" s="15" t="e">
        <x:f>HYPERLINK("https://pokecottage.com/pokemon-master-sets/glaceon","Glaceon")</x:f>
        <x:v>HYPERLINK is not implemented. linkLocation=https://pokecottage.com/pokemon-master-sets/glaceon, friendlyName=Glaceon</x:v>
      </x:c>
      <x:c r="D472" s="7" t="str">
        <x:v>Gen 4 • Sinnoh</x:v>
      </x:c>
      <x:c r="E472" s="7"/>
      <x:c r="F472" s="7"/>
    </x:row>
    <x:row r="473" ht="25" customHeight="1">
      <x:c r="A473" s="14" t="str">
        <x:v>☐</x:v>
      </x:c>
      <x:c r="B473" s="12" t="n">
        <x:v>472</x:v>
      </x:c>
      <x:c r="C473" s="16" t="e">
        <x:f>HYPERLINK("https://pokecottage.com/pokemon-master-sets/gliscor","Gliscor")</x:f>
        <x:v>HYPERLINK is not implemented. linkLocation=https://pokecottage.com/pokemon-master-sets/gliscor, friendlyName=Gliscor</x:v>
      </x:c>
      <x:c r="D473" s="8" t="str">
        <x:v>Gen 4 • Sinnoh</x:v>
      </x:c>
      <x:c r="E473" s="8"/>
      <x:c r="F473" s="8"/>
    </x:row>
    <x:row r="474" ht="25" customHeight="1">
      <x:c r="A474" s="13" t="str">
        <x:v>☐</x:v>
      </x:c>
      <x:c r="B474" s="11" t="n">
        <x:v>473</x:v>
      </x:c>
      <x:c r="C474" s="15" t="e">
        <x:f>HYPERLINK("https://pokecottage.com/pokemon-master-sets/mamoswine","Mamoswine")</x:f>
        <x:v>HYPERLINK is not implemented. linkLocation=https://pokecottage.com/pokemon-master-sets/mamoswine, friendlyName=Mamoswine</x:v>
      </x:c>
      <x:c r="D474" s="7" t="str">
        <x:v>Gen 4 • Sinnoh</x:v>
      </x:c>
      <x:c r="E474" s="7"/>
      <x:c r="F474" s="7"/>
    </x:row>
    <x:row r="475" ht="25" customHeight="1">
      <x:c r="A475" s="14" t="str">
        <x:v>☐</x:v>
      </x:c>
      <x:c r="B475" s="12" t="n">
        <x:v>474</x:v>
      </x:c>
      <x:c r="C475" s="16" t="e">
        <x:f>HYPERLINK("https://pokecottage.com/pokemon-master-sets/porygon-z","Porygon-Z")</x:f>
        <x:v>HYPERLINK is not implemented. linkLocation=https://pokecottage.com/pokemon-master-sets/porygon-z, friendlyName=Porygon-Z</x:v>
      </x:c>
      <x:c r="D475" s="8" t="str">
        <x:v>Gen 4 • Sinnoh</x:v>
      </x:c>
      <x:c r="E475" s="8"/>
      <x:c r="F475" s="8"/>
    </x:row>
    <x:row r="476" ht="25" customHeight="1">
      <x:c r="A476" s="13" t="str">
        <x:v>☐</x:v>
      </x:c>
      <x:c r="B476" s="11" t="n">
        <x:v>475</x:v>
      </x:c>
      <x:c r="C476" s="15" t="e">
        <x:f>HYPERLINK("https://pokecottage.com/pokemon-master-sets/gallade","Gallade")</x:f>
        <x:v>HYPERLINK is not implemented. linkLocation=https://pokecottage.com/pokemon-master-sets/gallade, friendlyName=Gallade</x:v>
      </x:c>
      <x:c r="D476" s="7" t="str">
        <x:v>Gen 4 • Sinnoh</x:v>
      </x:c>
      <x:c r="E476" s="7"/>
      <x:c r="F476" s="7"/>
    </x:row>
    <x:row r="477" ht="25" customHeight="1">
      <x:c r="A477" s="14" t="str">
        <x:v>☐</x:v>
      </x:c>
      <x:c r="B477" s="12" t="n">
        <x:v>476</x:v>
      </x:c>
      <x:c r="C477" s="16" t="e">
        <x:f>HYPERLINK("https://pokecottage.com/pokemon-master-sets/probopass","Probopass")</x:f>
        <x:v>HYPERLINK is not implemented. linkLocation=https://pokecottage.com/pokemon-master-sets/probopass, friendlyName=Probopass</x:v>
      </x:c>
      <x:c r="D477" s="8" t="str">
        <x:v>Gen 4 • Sinnoh</x:v>
      </x:c>
      <x:c r="E477" s="8"/>
      <x:c r="F477" s="8"/>
    </x:row>
    <x:row r="478" ht="25" customHeight="1">
      <x:c r="A478" s="13" t="str">
        <x:v>☐</x:v>
      </x:c>
      <x:c r="B478" s="11" t="n">
        <x:v>477</x:v>
      </x:c>
      <x:c r="C478" s="15" t="e">
        <x:f>HYPERLINK("https://pokecottage.com/pokemon-master-sets/dusknoir","Dusknoir")</x:f>
        <x:v>HYPERLINK is not implemented. linkLocation=https://pokecottage.com/pokemon-master-sets/dusknoir, friendlyName=Dusknoir</x:v>
      </x:c>
      <x:c r="D478" s="7" t="str">
        <x:v>Gen 4 • Sinnoh</x:v>
      </x:c>
      <x:c r="E478" s="7"/>
      <x:c r="F478" s="7"/>
    </x:row>
    <x:row r="479" ht="25" customHeight="1">
      <x:c r="A479" s="14" t="str">
        <x:v>☐</x:v>
      </x:c>
      <x:c r="B479" s="12" t="n">
        <x:v>478</x:v>
      </x:c>
      <x:c r="C479" s="16" t="e">
        <x:f>HYPERLINK("https://pokecottage.com/pokemon-master-sets/froslass","Froslass")</x:f>
        <x:v>HYPERLINK is not implemented. linkLocation=https://pokecottage.com/pokemon-master-sets/froslass, friendlyName=Froslass</x:v>
      </x:c>
      <x:c r="D479" s="8" t="str">
        <x:v>Gen 4 • Sinnoh</x:v>
      </x:c>
      <x:c r="E479" s="8"/>
      <x:c r="F479" s="8"/>
    </x:row>
    <x:row r="480" ht="25" customHeight="1">
      <x:c r="A480" s="13" t="str">
        <x:v>☐</x:v>
      </x:c>
      <x:c r="B480" s="11" t="n">
        <x:v>479</x:v>
      </x:c>
      <x:c r="C480" s="15" t="e">
        <x:f>HYPERLINK("https://pokecottage.com/pokemon-master-sets/rotom","Rotom")</x:f>
        <x:v>HYPERLINK is not implemented. linkLocation=https://pokecottage.com/pokemon-master-sets/rotom, friendlyName=Rotom</x:v>
      </x:c>
      <x:c r="D480" s="7" t="str">
        <x:v>Gen 4 • Sinnoh</x:v>
      </x:c>
      <x:c r="E480" s="7"/>
      <x:c r="F480" s="7"/>
    </x:row>
    <x:row r="481" ht="25" customHeight="1">
      <x:c r="A481" s="14" t="str">
        <x:v>☐</x:v>
      </x:c>
      <x:c r="B481" s="12" t="n">
        <x:v>480</x:v>
      </x:c>
      <x:c r="C481" s="16" t="e">
        <x:f>HYPERLINK("https://pokecottage.com/pokemon-master-sets/uxie","Uxie")</x:f>
        <x:v>HYPERLINK is not implemented. linkLocation=https://pokecottage.com/pokemon-master-sets/uxie, friendlyName=Uxie</x:v>
      </x:c>
      <x:c r="D481" s="8" t="str">
        <x:v>Gen 4 • Sinnoh</x:v>
      </x:c>
      <x:c r="E481" s="8"/>
      <x:c r="F481" s="8"/>
    </x:row>
    <x:row r="482" ht="25" customHeight="1">
      <x:c r="A482" s="13" t="str">
        <x:v>☐</x:v>
      </x:c>
      <x:c r="B482" s="11" t="n">
        <x:v>481</x:v>
      </x:c>
      <x:c r="C482" s="15" t="e">
        <x:f>HYPERLINK("https://pokecottage.com/pokemon-master-sets/mesprit","Mesprit")</x:f>
        <x:v>HYPERLINK is not implemented. linkLocation=https://pokecottage.com/pokemon-master-sets/mesprit, friendlyName=Mesprit</x:v>
      </x:c>
      <x:c r="D482" s="7" t="str">
        <x:v>Gen 4 • Sinnoh</x:v>
      </x:c>
      <x:c r="E482" s="7"/>
      <x:c r="F482" s="7"/>
    </x:row>
    <x:row r="483" ht="25" customHeight="1">
      <x:c r="A483" s="14" t="str">
        <x:v>☐</x:v>
      </x:c>
      <x:c r="B483" s="12" t="n">
        <x:v>482</x:v>
      </x:c>
      <x:c r="C483" s="16" t="e">
        <x:f>HYPERLINK("https://pokecottage.com/pokemon-master-sets/azelf","Azelf")</x:f>
        <x:v>HYPERLINK is not implemented. linkLocation=https://pokecottage.com/pokemon-master-sets/azelf, friendlyName=Azelf</x:v>
      </x:c>
      <x:c r="D483" s="8" t="str">
        <x:v>Gen 4 • Sinnoh</x:v>
      </x:c>
      <x:c r="E483" s="8"/>
      <x:c r="F483" s="8"/>
    </x:row>
    <x:row r="484" ht="25" customHeight="1">
      <x:c r="A484" s="13" t="str">
        <x:v>☐</x:v>
      </x:c>
      <x:c r="B484" s="11" t="n">
        <x:v>483</x:v>
      </x:c>
      <x:c r="C484" s="15" t="e">
        <x:f>HYPERLINK("https://pokecottage.com/pokemon-master-sets/dialga","Dialga")</x:f>
        <x:v>HYPERLINK is not implemented. linkLocation=https://pokecottage.com/pokemon-master-sets/dialga, friendlyName=Dialga</x:v>
      </x:c>
      <x:c r="D484" s="7" t="str">
        <x:v>Gen 4 • Sinnoh</x:v>
      </x:c>
      <x:c r="E484" s="7"/>
      <x:c r="F484" s="7"/>
    </x:row>
    <x:row r="485" ht="25" customHeight="1">
      <x:c r="A485" s="14" t="str">
        <x:v>☐</x:v>
      </x:c>
      <x:c r="B485" s="12" t="n">
        <x:v>484</x:v>
      </x:c>
      <x:c r="C485" s="16" t="e">
        <x:f>HYPERLINK("https://pokecottage.com/pokemon-master-sets/palkia","Palkia")</x:f>
        <x:v>HYPERLINK is not implemented. linkLocation=https://pokecottage.com/pokemon-master-sets/palkia, friendlyName=Palkia</x:v>
      </x:c>
      <x:c r="D485" s="8" t="str">
        <x:v>Gen 4 • Sinnoh</x:v>
      </x:c>
      <x:c r="E485" s="8"/>
      <x:c r="F485" s="8"/>
    </x:row>
    <x:row r="486" ht="25" customHeight="1">
      <x:c r="A486" s="13" t="str">
        <x:v>☐</x:v>
      </x:c>
      <x:c r="B486" s="11" t="n">
        <x:v>485</x:v>
      </x:c>
      <x:c r="C486" s="15" t="e">
        <x:f>HYPERLINK("https://pokecottage.com/pokemon-master-sets/heatran","Heatran")</x:f>
        <x:v>HYPERLINK is not implemented. linkLocation=https://pokecottage.com/pokemon-master-sets/heatran, friendlyName=Heatran</x:v>
      </x:c>
      <x:c r="D486" s="7" t="str">
        <x:v>Gen 4 • Sinnoh</x:v>
      </x:c>
      <x:c r="E486" s="7"/>
      <x:c r="F486" s="7"/>
    </x:row>
    <x:row r="487" ht="25" customHeight="1">
      <x:c r="A487" s="14" t="str">
        <x:v>☐</x:v>
      </x:c>
      <x:c r="B487" s="12" t="n">
        <x:v>486</x:v>
      </x:c>
      <x:c r="C487" s="16" t="e">
        <x:f>HYPERLINK("https://pokecottage.com/pokemon-master-sets/regigigas","Regigigas")</x:f>
        <x:v>HYPERLINK is not implemented. linkLocation=https://pokecottage.com/pokemon-master-sets/regigigas, friendlyName=Regigigas</x:v>
      </x:c>
      <x:c r="D487" s="8" t="str">
        <x:v>Gen 4 • Sinnoh</x:v>
      </x:c>
      <x:c r="E487" s="8"/>
      <x:c r="F487" s="8"/>
    </x:row>
    <x:row r="488" ht="25" customHeight="1">
      <x:c r="A488" s="13" t="str">
        <x:v>☐</x:v>
      </x:c>
      <x:c r="B488" s="11" t="n">
        <x:v>487</x:v>
      </x:c>
      <x:c r="C488" s="15" t="e">
        <x:f>HYPERLINK("https://pokecottage.com/pokemon-master-sets/giratina","Giratina")</x:f>
        <x:v>HYPERLINK is not implemented. linkLocation=https://pokecottage.com/pokemon-master-sets/giratina, friendlyName=Giratina</x:v>
      </x:c>
      <x:c r="D488" s="7" t="str">
        <x:v>Gen 4 • Sinnoh</x:v>
      </x:c>
      <x:c r="E488" s="7"/>
      <x:c r="F488" s="7"/>
    </x:row>
    <x:row r="489" ht="25" customHeight="1">
      <x:c r="A489" s="14" t="str">
        <x:v>☐</x:v>
      </x:c>
      <x:c r="B489" s="12" t="n">
        <x:v>488</x:v>
      </x:c>
      <x:c r="C489" s="16" t="e">
        <x:f>HYPERLINK("https://pokecottage.com/pokemon-master-sets/cresselia","Cresselia")</x:f>
        <x:v>HYPERLINK is not implemented. linkLocation=https://pokecottage.com/pokemon-master-sets/cresselia, friendlyName=Cresselia</x:v>
      </x:c>
      <x:c r="D489" s="8" t="str">
        <x:v>Gen 4 • Sinnoh</x:v>
      </x:c>
      <x:c r="E489" s="8"/>
      <x:c r="F489" s="8"/>
    </x:row>
    <x:row r="490" ht="25" customHeight="1">
      <x:c r="A490" s="13" t="str">
        <x:v>☐</x:v>
      </x:c>
      <x:c r="B490" s="11" t="n">
        <x:v>489</x:v>
      </x:c>
      <x:c r="C490" s="15" t="e">
        <x:f>HYPERLINK("https://pokecottage.com/pokemon-master-sets/phione","Phione")</x:f>
        <x:v>HYPERLINK is not implemented. linkLocation=https://pokecottage.com/pokemon-master-sets/phione, friendlyName=Phione</x:v>
      </x:c>
      <x:c r="D490" s="7" t="str">
        <x:v>Gen 4 • Sinnoh</x:v>
      </x:c>
      <x:c r="E490" s="7"/>
      <x:c r="F490" s="7"/>
    </x:row>
    <x:row r="491" ht="25" customHeight="1">
      <x:c r="A491" s="14" t="str">
        <x:v>☐</x:v>
      </x:c>
      <x:c r="B491" s="12" t="n">
        <x:v>490</x:v>
      </x:c>
      <x:c r="C491" s="16" t="e">
        <x:f>HYPERLINK("https://pokecottage.com/pokemon-master-sets/manaphy","Manaphy")</x:f>
        <x:v>HYPERLINK is not implemented. linkLocation=https://pokecottage.com/pokemon-master-sets/manaphy, friendlyName=Manaphy</x:v>
      </x:c>
      <x:c r="D491" s="8" t="str">
        <x:v>Gen 4 • Sinnoh</x:v>
      </x:c>
      <x:c r="E491" s="8"/>
      <x:c r="F491" s="8"/>
    </x:row>
    <x:row r="492" ht="25" customHeight="1">
      <x:c r="A492" s="13" t="str">
        <x:v>☐</x:v>
      </x:c>
      <x:c r="B492" s="11" t="n">
        <x:v>491</x:v>
      </x:c>
      <x:c r="C492" s="15" t="e">
        <x:f>HYPERLINK("https://pokecottage.com/pokemon-master-sets/darkrai","Darkrai")</x:f>
        <x:v>HYPERLINK is not implemented. linkLocation=https://pokecottage.com/pokemon-master-sets/darkrai, friendlyName=Darkrai</x:v>
      </x:c>
      <x:c r="D492" s="7" t="str">
        <x:v>Gen 4 • Sinnoh</x:v>
      </x:c>
      <x:c r="E492" s="7"/>
      <x:c r="F492" s="7"/>
    </x:row>
    <x:row r="493" ht="25" customHeight="1">
      <x:c r="A493" s="14" t="str">
        <x:v>☐</x:v>
      </x:c>
      <x:c r="B493" s="12" t="n">
        <x:v>492</x:v>
      </x:c>
      <x:c r="C493" s="16" t="e">
        <x:f>HYPERLINK("https://pokecottage.com/pokemon-master-sets/shaymin","Shaymin")</x:f>
        <x:v>HYPERLINK is not implemented. linkLocation=https://pokecottage.com/pokemon-master-sets/shaymin, friendlyName=Shaymin</x:v>
      </x:c>
      <x:c r="D493" s="8" t="str">
        <x:v>Gen 4 • Sinnoh</x:v>
      </x:c>
      <x:c r="E493" s="8"/>
      <x:c r="F493" s="8"/>
    </x:row>
    <x:row r="494" ht="25" customHeight="1">
      <x:c r="A494" s="13" t="str">
        <x:v>☐</x:v>
      </x:c>
      <x:c r="B494" s="11" t="n">
        <x:v>493</x:v>
      </x:c>
      <x:c r="C494" s="15" t="e">
        <x:f>HYPERLINK("https://pokecottage.com/pokemon-master-sets/arceus","Arceus")</x:f>
        <x:v>HYPERLINK is not implemented. linkLocation=https://pokecottage.com/pokemon-master-sets/arceus, friendlyName=Arceus</x:v>
      </x:c>
      <x:c r="D494" s="7" t="str">
        <x:v>Gen 4 • Sinnoh</x:v>
      </x:c>
      <x:c r="E494" s="7"/>
      <x:c r="F494" s="7"/>
    </x:row>
    <x:row r="495" ht="25" customHeight="1">
      <x:c r="A495" s="14" t="str">
        <x:v>☐</x:v>
      </x:c>
      <x:c r="B495" s="12" t="n">
        <x:v>494</x:v>
      </x:c>
      <x:c r="C495" s="16" t="e">
        <x:f>HYPERLINK("https://pokecottage.com/pokemon-master-sets/victini","Victini")</x:f>
        <x:v>HYPERLINK is not implemented. linkLocation=https://pokecottage.com/pokemon-master-sets/victini, friendlyName=Victini</x:v>
      </x:c>
      <x:c r="D495" s="8" t="str">
        <x:v>Gen 5 • Unova</x:v>
      </x:c>
      <x:c r="E495" s="8"/>
      <x:c r="F495" s="8"/>
    </x:row>
    <x:row r="496" ht="25" customHeight="1">
      <x:c r="A496" s="13" t="str">
        <x:v>☐</x:v>
      </x:c>
      <x:c r="B496" s="11" t="n">
        <x:v>495</x:v>
      </x:c>
      <x:c r="C496" s="15" t="e">
        <x:f>HYPERLINK("https://pokecottage.com/pokemon-master-sets/snivy","Snivy")</x:f>
        <x:v>HYPERLINK is not implemented. linkLocation=https://pokecottage.com/pokemon-master-sets/snivy, friendlyName=Snivy</x:v>
      </x:c>
      <x:c r="D496" s="7" t="str">
        <x:v>Gen 5 • Unova</x:v>
      </x:c>
      <x:c r="E496" s="7"/>
      <x:c r="F496" s="7"/>
    </x:row>
    <x:row r="497" ht="25" customHeight="1">
      <x:c r="A497" s="14" t="str">
        <x:v>☐</x:v>
      </x:c>
      <x:c r="B497" s="12" t="n">
        <x:v>496</x:v>
      </x:c>
      <x:c r="C497" s="16" t="e">
        <x:f>HYPERLINK("https://pokecottage.com/pokemon-master-sets/servine","Servine")</x:f>
        <x:v>HYPERLINK is not implemented. linkLocation=https://pokecottage.com/pokemon-master-sets/servine, friendlyName=Servine</x:v>
      </x:c>
      <x:c r="D497" s="8" t="str">
        <x:v>Gen 5 • Unova</x:v>
      </x:c>
      <x:c r="E497" s="8"/>
      <x:c r="F497" s="8"/>
    </x:row>
    <x:row r="498" ht="25" customHeight="1">
      <x:c r="A498" s="13" t="str">
        <x:v>☐</x:v>
      </x:c>
      <x:c r="B498" s="11" t="n">
        <x:v>497</x:v>
      </x:c>
      <x:c r="C498" s="15" t="e">
        <x:f>HYPERLINK("https://pokecottage.com/pokemon-master-sets/serperior","Serperior")</x:f>
        <x:v>HYPERLINK is not implemented. linkLocation=https://pokecottage.com/pokemon-master-sets/serperior, friendlyName=Serperior</x:v>
      </x:c>
      <x:c r="D498" s="7" t="str">
        <x:v>Gen 5 • Unova</x:v>
      </x:c>
      <x:c r="E498" s="7"/>
      <x:c r="F498" s="7"/>
    </x:row>
    <x:row r="499" ht="25" customHeight="1">
      <x:c r="A499" s="14" t="str">
        <x:v>☐</x:v>
      </x:c>
      <x:c r="B499" s="12" t="n">
        <x:v>498</x:v>
      </x:c>
      <x:c r="C499" s="16" t="e">
        <x:f>HYPERLINK("https://pokecottage.com/pokemon-master-sets/tepig","Tepig")</x:f>
        <x:v>HYPERLINK is not implemented. linkLocation=https://pokecottage.com/pokemon-master-sets/tepig, friendlyName=Tepig</x:v>
      </x:c>
      <x:c r="D499" s="8" t="str">
        <x:v>Gen 5 • Unova</x:v>
      </x:c>
      <x:c r="E499" s="8"/>
      <x:c r="F499" s="8"/>
    </x:row>
    <x:row r="500" ht="25" customHeight="1">
      <x:c r="A500" s="13" t="str">
        <x:v>☐</x:v>
      </x:c>
      <x:c r="B500" s="11" t="n">
        <x:v>499</x:v>
      </x:c>
      <x:c r="C500" s="15" t="e">
        <x:f>HYPERLINK("https://pokecottage.com/pokemon-master-sets/pignite","Pignite")</x:f>
        <x:v>HYPERLINK is not implemented. linkLocation=https://pokecottage.com/pokemon-master-sets/pignite, friendlyName=Pignite</x:v>
      </x:c>
      <x:c r="D500" s="7" t="str">
        <x:v>Gen 5 • Unova</x:v>
      </x:c>
      <x:c r="E500" s="7"/>
      <x:c r="F500" s="7"/>
    </x:row>
    <x:row r="501" ht="25" customHeight="1">
      <x:c r="A501" s="14" t="str">
        <x:v>☐</x:v>
      </x:c>
      <x:c r="B501" s="12" t="n">
        <x:v>500</x:v>
      </x:c>
      <x:c r="C501" s="16" t="e">
        <x:f>HYPERLINK("https://pokecottage.com/pokemon-master-sets/emboar","Emboar")</x:f>
        <x:v>HYPERLINK is not implemented. linkLocation=https://pokecottage.com/pokemon-master-sets/emboar, friendlyName=Emboar</x:v>
      </x:c>
      <x:c r="D501" s="8" t="str">
        <x:v>Gen 5 • Unova</x:v>
      </x:c>
      <x:c r="E501" s="8"/>
      <x:c r="F501" s="8"/>
    </x:row>
    <x:row r="502" ht="25" customHeight="1">
      <x:c r="A502" s="13" t="str">
        <x:v>☐</x:v>
      </x:c>
      <x:c r="B502" s="11" t="n">
        <x:v>501</x:v>
      </x:c>
      <x:c r="C502" s="15" t="e">
        <x:f>HYPERLINK("https://pokecottage.com/pokemon-master-sets/oshawott","Oshawott")</x:f>
        <x:v>HYPERLINK is not implemented. linkLocation=https://pokecottage.com/pokemon-master-sets/oshawott, friendlyName=Oshawott</x:v>
      </x:c>
      <x:c r="D502" s="7" t="str">
        <x:v>Gen 5 • Unova</x:v>
      </x:c>
      <x:c r="E502" s="7"/>
      <x:c r="F502" s="7"/>
    </x:row>
    <x:row r="503" ht="25" customHeight="1">
      <x:c r="A503" s="14" t="str">
        <x:v>☐</x:v>
      </x:c>
      <x:c r="B503" s="12" t="n">
        <x:v>502</x:v>
      </x:c>
      <x:c r="C503" s="16" t="e">
        <x:f>HYPERLINK("https://pokecottage.com/pokemon-master-sets/dewott","Dewott")</x:f>
        <x:v>HYPERLINK is not implemented. linkLocation=https://pokecottage.com/pokemon-master-sets/dewott, friendlyName=Dewott</x:v>
      </x:c>
      <x:c r="D503" s="8" t="str">
        <x:v>Gen 5 • Unova</x:v>
      </x:c>
      <x:c r="E503" s="8"/>
      <x:c r="F503" s="8"/>
    </x:row>
    <x:row r="504" ht="25" customHeight="1">
      <x:c r="A504" s="13" t="str">
        <x:v>☐</x:v>
      </x:c>
      <x:c r="B504" s="11" t="n">
        <x:v>503</x:v>
      </x:c>
      <x:c r="C504" s="15" t="e">
        <x:f>HYPERLINK("https://pokecottage.com/pokemon-master-sets/samurott","Samurott")</x:f>
        <x:v>HYPERLINK is not implemented. linkLocation=https://pokecottage.com/pokemon-master-sets/samurott, friendlyName=Samurott</x:v>
      </x:c>
      <x:c r="D504" s="7" t="str">
        <x:v>Gen 5 • Unova</x:v>
      </x:c>
      <x:c r="E504" s="7"/>
      <x:c r="F504" s="7"/>
    </x:row>
    <x:row r="505" ht="25" customHeight="1">
      <x:c r="A505" s="14" t="str">
        <x:v>☐</x:v>
      </x:c>
      <x:c r="B505" s="12" t="n">
        <x:v>504</x:v>
      </x:c>
      <x:c r="C505" s="16" t="e">
        <x:f>HYPERLINK("https://pokecottage.com/pokemon-master-sets/patrat","Patrat")</x:f>
        <x:v>HYPERLINK is not implemented. linkLocation=https://pokecottage.com/pokemon-master-sets/patrat, friendlyName=Patrat</x:v>
      </x:c>
      <x:c r="D505" s="8" t="str">
        <x:v>Gen 5 • Unova</x:v>
      </x:c>
      <x:c r="E505" s="8"/>
      <x:c r="F505" s="8"/>
    </x:row>
    <x:row r="506" ht="25" customHeight="1">
      <x:c r="A506" s="13" t="str">
        <x:v>☐</x:v>
      </x:c>
      <x:c r="B506" s="11" t="n">
        <x:v>505</x:v>
      </x:c>
      <x:c r="C506" s="15" t="e">
        <x:f>HYPERLINK("https://pokecottage.com/pokemon-master-sets/watchog","Watchog")</x:f>
        <x:v>HYPERLINK is not implemented. linkLocation=https://pokecottage.com/pokemon-master-sets/watchog, friendlyName=Watchog</x:v>
      </x:c>
      <x:c r="D506" s="7" t="str">
        <x:v>Gen 5 • Unova</x:v>
      </x:c>
      <x:c r="E506" s="7"/>
      <x:c r="F506" s="7"/>
    </x:row>
    <x:row r="507" ht="25" customHeight="1">
      <x:c r="A507" s="14" t="str">
        <x:v>☐</x:v>
      </x:c>
      <x:c r="B507" s="12" t="n">
        <x:v>506</x:v>
      </x:c>
      <x:c r="C507" s="16" t="e">
        <x:f>HYPERLINK("https://pokecottage.com/pokemon-master-sets/lillipup","Lillipup")</x:f>
        <x:v>HYPERLINK is not implemented. linkLocation=https://pokecottage.com/pokemon-master-sets/lillipup, friendlyName=Lillipup</x:v>
      </x:c>
      <x:c r="D507" s="8" t="str">
        <x:v>Gen 5 • Unova</x:v>
      </x:c>
      <x:c r="E507" s="8"/>
      <x:c r="F507" s="8"/>
    </x:row>
    <x:row r="508" ht="25" customHeight="1">
      <x:c r="A508" s="13" t="str">
        <x:v>☐</x:v>
      </x:c>
      <x:c r="B508" s="11" t="n">
        <x:v>507</x:v>
      </x:c>
      <x:c r="C508" s="15" t="e">
        <x:f>HYPERLINK("https://pokecottage.com/pokemon-master-sets/herdier","Herdier")</x:f>
        <x:v>HYPERLINK is not implemented. linkLocation=https://pokecottage.com/pokemon-master-sets/herdier, friendlyName=Herdier</x:v>
      </x:c>
      <x:c r="D508" s="7" t="str">
        <x:v>Gen 5 • Unova</x:v>
      </x:c>
      <x:c r="E508" s="7"/>
      <x:c r="F508" s="7"/>
    </x:row>
    <x:row r="509" ht="25" customHeight="1">
      <x:c r="A509" s="14" t="str">
        <x:v>☐</x:v>
      </x:c>
      <x:c r="B509" s="12" t="n">
        <x:v>508</x:v>
      </x:c>
      <x:c r="C509" s="16" t="e">
        <x:f>HYPERLINK("https://pokecottage.com/pokemon-master-sets/stoutland","Stoutland")</x:f>
        <x:v>HYPERLINK is not implemented. linkLocation=https://pokecottage.com/pokemon-master-sets/stoutland, friendlyName=Stoutland</x:v>
      </x:c>
      <x:c r="D509" s="8" t="str">
        <x:v>Gen 5 • Unova</x:v>
      </x:c>
      <x:c r="E509" s="8"/>
      <x:c r="F509" s="8"/>
    </x:row>
    <x:row r="510" ht="25" customHeight="1">
      <x:c r="A510" s="13" t="str">
        <x:v>☐</x:v>
      </x:c>
      <x:c r="B510" s="11" t="n">
        <x:v>509</x:v>
      </x:c>
      <x:c r="C510" s="15" t="e">
        <x:f>HYPERLINK("https://pokecottage.com/pokemon-master-sets/purrloin","Purrloin")</x:f>
        <x:v>HYPERLINK is not implemented. linkLocation=https://pokecottage.com/pokemon-master-sets/purrloin, friendlyName=Purrloin</x:v>
      </x:c>
      <x:c r="D510" s="7" t="str">
        <x:v>Gen 5 • Unova</x:v>
      </x:c>
      <x:c r="E510" s="7"/>
      <x:c r="F510" s="7"/>
    </x:row>
    <x:row r="511" ht="25" customHeight="1">
      <x:c r="A511" s="14" t="str">
        <x:v>☐</x:v>
      </x:c>
      <x:c r="B511" s="12" t="n">
        <x:v>510</x:v>
      </x:c>
      <x:c r="C511" s="16" t="e">
        <x:f>HYPERLINK("https://pokecottage.com/pokemon-master-sets/liepard","Liepard")</x:f>
        <x:v>HYPERLINK is not implemented. linkLocation=https://pokecottage.com/pokemon-master-sets/liepard, friendlyName=Liepard</x:v>
      </x:c>
      <x:c r="D511" s="8" t="str">
        <x:v>Gen 5 • Unova</x:v>
      </x:c>
      <x:c r="E511" s="8"/>
      <x:c r="F511" s="8"/>
    </x:row>
    <x:row r="512" ht="25" customHeight="1">
      <x:c r="A512" s="13" t="str">
        <x:v>☐</x:v>
      </x:c>
      <x:c r="B512" s="11" t="n">
        <x:v>511</x:v>
      </x:c>
      <x:c r="C512" s="15" t="e">
        <x:f>HYPERLINK("https://pokecottage.com/pokemon-master-sets/pansage","Pansage")</x:f>
        <x:v>HYPERLINK is not implemented. linkLocation=https://pokecottage.com/pokemon-master-sets/pansage, friendlyName=Pansage</x:v>
      </x:c>
      <x:c r="D512" s="7" t="str">
        <x:v>Gen 5 • Unova</x:v>
      </x:c>
      <x:c r="E512" s="7"/>
      <x:c r="F512" s="7"/>
    </x:row>
    <x:row r="513" ht="25" customHeight="1">
      <x:c r="A513" s="14" t="str">
        <x:v>☐</x:v>
      </x:c>
      <x:c r="B513" s="12" t="n">
        <x:v>512</x:v>
      </x:c>
      <x:c r="C513" s="16" t="e">
        <x:f>HYPERLINK("https://pokecottage.com/pokemon-master-sets/simisage","Simisage")</x:f>
        <x:v>HYPERLINK is not implemented. linkLocation=https://pokecottage.com/pokemon-master-sets/simisage, friendlyName=Simisage</x:v>
      </x:c>
      <x:c r="D513" s="8" t="str">
        <x:v>Gen 5 • Unova</x:v>
      </x:c>
      <x:c r="E513" s="8"/>
      <x:c r="F513" s="8"/>
    </x:row>
    <x:row r="514" ht="25" customHeight="1">
      <x:c r="A514" s="13" t="str">
        <x:v>☐</x:v>
      </x:c>
      <x:c r="B514" s="11" t="n">
        <x:v>513</x:v>
      </x:c>
      <x:c r="C514" s="15" t="e">
        <x:f>HYPERLINK("https://pokecottage.com/pokemon-master-sets/pansear","Pansear")</x:f>
        <x:v>HYPERLINK is not implemented. linkLocation=https://pokecottage.com/pokemon-master-sets/pansear, friendlyName=Pansear</x:v>
      </x:c>
      <x:c r="D514" s="7" t="str">
        <x:v>Gen 5 • Unova</x:v>
      </x:c>
      <x:c r="E514" s="7"/>
      <x:c r="F514" s="7"/>
    </x:row>
    <x:row r="515" ht="25" customHeight="1">
      <x:c r="A515" s="14" t="str">
        <x:v>☐</x:v>
      </x:c>
      <x:c r="B515" s="12" t="n">
        <x:v>514</x:v>
      </x:c>
      <x:c r="C515" s="16" t="e">
        <x:f>HYPERLINK("https://pokecottage.com/pokemon-master-sets/simisear","Simisear")</x:f>
        <x:v>HYPERLINK is not implemented. linkLocation=https://pokecottage.com/pokemon-master-sets/simisear, friendlyName=Simisear</x:v>
      </x:c>
      <x:c r="D515" s="8" t="str">
        <x:v>Gen 5 • Unova</x:v>
      </x:c>
      <x:c r="E515" s="8"/>
      <x:c r="F515" s="8"/>
    </x:row>
    <x:row r="516" ht="25" customHeight="1">
      <x:c r="A516" s="13" t="str">
        <x:v>☐</x:v>
      </x:c>
      <x:c r="B516" s="11" t="n">
        <x:v>515</x:v>
      </x:c>
      <x:c r="C516" s="15" t="e">
        <x:f>HYPERLINK("https://pokecottage.com/pokemon-master-sets/panpour","Panpour")</x:f>
        <x:v>HYPERLINK is not implemented. linkLocation=https://pokecottage.com/pokemon-master-sets/panpour, friendlyName=Panpour</x:v>
      </x:c>
      <x:c r="D516" s="7" t="str">
        <x:v>Gen 5 • Unova</x:v>
      </x:c>
      <x:c r="E516" s="7"/>
      <x:c r="F516" s="7"/>
    </x:row>
    <x:row r="517" ht="25" customHeight="1">
      <x:c r="A517" s="14" t="str">
        <x:v>☐</x:v>
      </x:c>
      <x:c r="B517" s="12" t="n">
        <x:v>516</x:v>
      </x:c>
      <x:c r="C517" s="16" t="e">
        <x:f>HYPERLINK("https://pokecottage.com/pokemon-master-sets/simipour","Simipour")</x:f>
        <x:v>HYPERLINK is not implemented. linkLocation=https://pokecottage.com/pokemon-master-sets/simipour, friendlyName=Simipour</x:v>
      </x:c>
      <x:c r="D517" s="8" t="str">
        <x:v>Gen 5 • Unova</x:v>
      </x:c>
      <x:c r="E517" s="8"/>
      <x:c r="F517" s="8"/>
    </x:row>
    <x:row r="518" ht="25" customHeight="1">
      <x:c r="A518" s="13" t="str">
        <x:v>☐</x:v>
      </x:c>
      <x:c r="B518" s="11" t="n">
        <x:v>517</x:v>
      </x:c>
      <x:c r="C518" s="15" t="e">
        <x:f>HYPERLINK("https://pokecottage.com/pokemon-master-sets/munna","Munna")</x:f>
        <x:v>HYPERLINK is not implemented. linkLocation=https://pokecottage.com/pokemon-master-sets/munna, friendlyName=Munna</x:v>
      </x:c>
      <x:c r="D518" s="7" t="str">
        <x:v>Gen 5 • Unova</x:v>
      </x:c>
      <x:c r="E518" s="7"/>
      <x:c r="F518" s="7"/>
    </x:row>
    <x:row r="519" ht="25" customHeight="1">
      <x:c r="A519" s="14" t="str">
        <x:v>☐</x:v>
      </x:c>
      <x:c r="B519" s="12" t="n">
        <x:v>518</x:v>
      </x:c>
      <x:c r="C519" s="16" t="e">
        <x:f>HYPERLINK("https://pokecottage.com/pokemon-master-sets/musharna","Musharna")</x:f>
        <x:v>HYPERLINK is not implemented. linkLocation=https://pokecottage.com/pokemon-master-sets/musharna, friendlyName=Musharna</x:v>
      </x:c>
      <x:c r="D519" s="8" t="str">
        <x:v>Gen 5 • Unova</x:v>
      </x:c>
      <x:c r="E519" s="8"/>
      <x:c r="F519" s="8"/>
    </x:row>
    <x:row r="520" ht="25" customHeight="1">
      <x:c r="A520" s="13" t="str">
        <x:v>☐</x:v>
      </x:c>
      <x:c r="B520" s="11" t="n">
        <x:v>519</x:v>
      </x:c>
      <x:c r="C520" s="15" t="e">
        <x:f>HYPERLINK("https://pokecottage.com/pokemon-master-sets/pidove","Pidove")</x:f>
        <x:v>HYPERLINK is not implemented. linkLocation=https://pokecottage.com/pokemon-master-sets/pidove, friendlyName=Pidove</x:v>
      </x:c>
      <x:c r="D520" s="7" t="str">
        <x:v>Gen 5 • Unova</x:v>
      </x:c>
      <x:c r="E520" s="7"/>
      <x:c r="F520" s="7"/>
    </x:row>
    <x:row r="521" ht="25" customHeight="1">
      <x:c r="A521" s="14" t="str">
        <x:v>☐</x:v>
      </x:c>
      <x:c r="B521" s="12" t="n">
        <x:v>520</x:v>
      </x:c>
      <x:c r="C521" s="16" t="e">
        <x:f>HYPERLINK("https://pokecottage.com/pokemon-master-sets/tranquill","Tranquill")</x:f>
        <x:v>HYPERLINK is not implemented. linkLocation=https://pokecottage.com/pokemon-master-sets/tranquill, friendlyName=Tranquill</x:v>
      </x:c>
      <x:c r="D521" s="8" t="str">
        <x:v>Gen 5 • Unova</x:v>
      </x:c>
      <x:c r="E521" s="8"/>
      <x:c r="F521" s="8"/>
    </x:row>
    <x:row r="522" ht="25" customHeight="1">
      <x:c r="A522" s="13" t="str">
        <x:v>☐</x:v>
      </x:c>
      <x:c r="B522" s="11" t="n">
        <x:v>521</x:v>
      </x:c>
      <x:c r="C522" s="15" t="e">
        <x:f>HYPERLINK("https://pokecottage.com/pokemon-master-sets/unfezant","Unfezant")</x:f>
        <x:v>HYPERLINK is not implemented. linkLocation=https://pokecottage.com/pokemon-master-sets/unfezant, friendlyName=Unfezant</x:v>
      </x:c>
      <x:c r="D522" s="7" t="str">
        <x:v>Gen 5 • Unova</x:v>
      </x:c>
      <x:c r="E522" s="7"/>
      <x:c r="F522" s="7"/>
    </x:row>
    <x:row r="523" ht="25" customHeight="1">
      <x:c r="A523" s="14" t="str">
        <x:v>☐</x:v>
      </x:c>
      <x:c r="B523" s="12" t="n">
        <x:v>522</x:v>
      </x:c>
      <x:c r="C523" s="16" t="e">
        <x:f>HYPERLINK("https://pokecottage.com/pokemon-master-sets/blitzle","Blitzle")</x:f>
        <x:v>HYPERLINK is not implemented. linkLocation=https://pokecottage.com/pokemon-master-sets/blitzle, friendlyName=Blitzle</x:v>
      </x:c>
      <x:c r="D523" s="8" t="str">
        <x:v>Gen 5 • Unova</x:v>
      </x:c>
      <x:c r="E523" s="8"/>
      <x:c r="F523" s="8"/>
    </x:row>
    <x:row r="524" ht="25" customHeight="1">
      <x:c r="A524" s="13" t="str">
        <x:v>☐</x:v>
      </x:c>
      <x:c r="B524" s="11" t="n">
        <x:v>523</x:v>
      </x:c>
      <x:c r="C524" s="15" t="e">
        <x:f>HYPERLINK("https://pokecottage.com/pokemon-master-sets/zebstrika","Zebstrika")</x:f>
        <x:v>HYPERLINK is not implemented. linkLocation=https://pokecottage.com/pokemon-master-sets/zebstrika, friendlyName=Zebstrika</x:v>
      </x:c>
      <x:c r="D524" s="7" t="str">
        <x:v>Gen 5 • Unova</x:v>
      </x:c>
      <x:c r="E524" s="7"/>
      <x:c r="F524" s="7"/>
    </x:row>
    <x:row r="525" ht="25" customHeight="1">
      <x:c r="A525" s="14" t="str">
        <x:v>☐</x:v>
      </x:c>
      <x:c r="B525" s="12" t="n">
        <x:v>524</x:v>
      </x:c>
      <x:c r="C525" s="16" t="e">
        <x:f>HYPERLINK("https://pokecottage.com/pokemon-master-sets/roggenrola","Roggenrola")</x:f>
        <x:v>HYPERLINK is not implemented. linkLocation=https://pokecottage.com/pokemon-master-sets/roggenrola, friendlyName=Roggenrola</x:v>
      </x:c>
      <x:c r="D525" s="8" t="str">
        <x:v>Gen 5 • Unova</x:v>
      </x:c>
      <x:c r="E525" s="8"/>
      <x:c r="F525" s="8"/>
    </x:row>
    <x:row r="526" ht="25" customHeight="1">
      <x:c r="A526" s="13" t="str">
        <x:v>☐</x:v>
      </x:c>
      <x:c r="B526" s="11" t="n">
        <x:v>525</x:v>
      </x:c>
      <x:c r="C526" s="15" t="e">
        <x:f>HYPERLINK("https://pokecottage.com/pokemon-master-sets/boldore","Boldore")</x:f>
        <x:v>HYPERLINK is not implemented. linkLocation=https://pokecottage.com/pokemon-master-sets/boldore, friendlyName=Boldore</x:v>
      </x:c>
      <x:c r="D526" s="7" t="str">
        <x:v>Gen 5 • Unova</x:v>
      </x:c>
      <x:c r="E526" s="7"/>
      <x:c r="F526" s="7"/>
    </x:row>
    <x:row r="527" ht="25" customHeight="1">
      <x:c r="A527" s="14" t="str">
        <x:v>☐</x:v>
      </x:c>
      <x:c r="B527" s="12" t="n">
        <x:v>526</x:v>
      </x:c>
      <x:c r="C527" s="16" t="e">
        <x:f>HYPERLINK("https://pokecottage.com/pokemon-master-sets/gigalith","Gigalith")</x:f>
        <x:v>HYPERLINK is not implemented. linkLocation=https://pokecottage.com/pokemon-master-sets/gigalith, friendlyName=Gigalith</x:v>
      </x:c>
      <x:c r="D527" s="8" t="str">
        <x:v>Gen 5 • Unova</x:v>
      </x:c>
      <x:c r="E527" s="8"/>
      <x:c r="F527" s="8"/>
    </x:row>
    <x:row r="528" ht="25" customHeight="1">
      <x:c r="A528" s="13" t="str">
        <x:v>☐</x:v>
      </x:c>
      <x:c r="B528" s="11" t="n">
        <x:v>527</x:v>
      </x:c>
      <x:c r="C528" s="15" t="e">
        <x:f>HYPERLINK("https://pokecottage.com/pokemon-master-sets/woobat","Woobat")</x:f>
        <x:v>HYPERLINK is not implemented. linkLocation=https://pokecottage.com/pokemon-master-sets/woobat, friendlyName=Woobat</x:v>
      </x:c>
      <x:c r="D528" s="7" t="str">
        <x:v>Gen 5 • Unova</x:v>
      </x:c>
      <x:c r="E528" s="7"/>
      <x:c r="F528" s="7"/>
    </x:row>
    <x:row r="529" ht="25" customHeight="1">
      <x:c r="A529" s="14" t="str">
        <x:v>☐</x:v>
      </x:c>
      <x:c r="B529" s="12" t="n">
        <x:v>528</x:v>
      </x:c>
      <x:c r="C529" s="16" t="e">
        <x:f>HYPERLINK("https://pokecottage.com/pokemon-master-sets/swoobat","Swoobat")</x:f>
        <x:v>HYPERLINK is not implemented. linkLocation=https://pokecottage.com/pokemon-master-sets/swoobat, friendlyName=Swoobat</x:v>
      </x:c>
      <x:c r="D529" s="8" t="str">
        <x:v>Gen 5 • Unova</x:v>
      </x:c>
      <x:c r="E529" s="8"/>
      <x:c r="F529" s="8"/>
    </x:row>
    <x:row r="530" ht="25" customHeight="1">
      <x:c r="A530" s="13" t="str">
        <x:v>☐</x:v>
      </x:c>
      <x:c r="B530" s="11" t="n">
        <x:v>529</x:v>
      </x:c>
      <x:c r="C530" s="15" t="e">
        <x:f>HYPERLINK("https://pokecottage.com/pokemon-master-sets/drilbur","Drilbur")</x:f>
        <x:v>HYPERLINK is not implemented. linkLocation=https://pokecottage.com/pokemon-master-sets/drilbur, friendlyName=Drilbur</x:v>
      </x:c>
      <x:c r="D530" s="7" t="str">
        <x:v>Gen 5 • Unova</x:v>
      </x:c>
      <x:c r="E530" s="7"/>
      <x:c r="F530" s="7"/>
    </x:row>
    <x:row r="531" ht="25" customHeight="1">
      <x:c r="A531" s="14" t="str">
        <x:v>☐</x:v>
      </x:c>
      <x:c r="B531" s="12" t="n">
        <x:v>530</x:v>
      </x:c>
      <x:c r="C531" s="16" t="e">
        <x:f>HYPERLINK("https://pokecottage.com/pokemon-master-sets/excadrill","Excadrill")</x:f>
        <x:v>HYPERLINK is not implemented. linkLocation=https://pokecottage.com/pokemon-master-sets/excadrill, friendlyName=Excadrill</x:v>
      </x:c>
      <x:c r="D531" s="8" t="str">
        <x:v>Gen 5 • Unova</x:v>
      </x:c>
      <x:c r="E531" s="8"/>
      <x:c r="F531" s="8"/>
    </x:row>
    <x:row r="532" ht="25" customHeight="1">
      <x:c r="A532" s="13" t="str">
        <x:v>☐</x:v>
      </x:c>
      <x:c r="B532" s="11" t="n">
        <x:v>531</x:v>
      </x:c>
      <x:c r="C532" s="15" t="e">
        <x:f>HYPERLINK("https://pokecottage.com/pokemon-master-sets/audino","Audino")</x:f>
        <x:v>HYPERLINK is not implemented. linkLocation=https://pokecottage.com/pokemon-master-sets/audino, friendlyName=Audino</x:v>
      </x:c>
      <x:c r="D532" s="7" t="str">
        <x:v>Gen 5 • Unova</x:v>
      </x:c>
      <x:c r="E532" s="7"/>
      <x:c r="F532" s="7"/>
    </x:row>
    <x:row r="533" ht="25" customHeight="1">
      <x:c r="A533" s="14" t="str">
        <x:v>☐</x:v>
      </x:c>
      <x:c r="B533" s="12" t="n">
        <x:v>532</x:v>
      </x:c>
      <x:c r="C533" s="16" t="e">
        <x:f>HYPERLINK("https://pokecottage.com/pokemon-master-sets/timburr","Timburr")</x:f>
        <x:v>HYPERLINK is not implemented. linkLocation=https://pokecottage.com/pokemon-master-sets/timburr, friendlyName=Timburr</x:v>
      </x:c>
      <x:c r="D533" s="8" t="str">
        <x:v>Gen 5 • Unova</x:v>
      </x:c>
      <x:c r="E533" s="8"/>
      <x:c r="F533" s="8"/>
    </x:row>
    <x:row r="534" ht="25" customHeight="1">
      <x:c r="A534" s="13" t="str">
        <x:v>☐</x:v>
      </x:c>
      <x:c r="B534" s="11" t="n">
        <x:v>533</x:v>
      </x:c>
      <x:c r="C534" s="15" t="e">
        <x:f>HYPERLINK("https://pokecottage.com/pokemon-master-sets/gurdurr","Gurdurr")</x:f>
        <x:v>HYPERLINK is not implemented. linkLocation=https://pokecottage.com/pokemon-master-sets/gurdurr, friendlyName=Gurdurr</x:v>
      </x:c>
      <x:c r="D534" s="7" t="str">
        <x:v>Gen 5 • Unova</x:v>
      </x:c>
      <x:c r="E534" s="7"/>
      <x:c r="F534" s="7"/>
    </x:row>
    <x:row r="535" ht="25" customHeight="1">
      <x:c r="A535" s="14" t="str">
        <x:v>☐</x:v>
      </x:c>
      <x:c r="B535" s="12" t="n">
        <x:v>534</x:v>
      </x:c>
      <x:c r="C535" s="16" t="e">
        <x:f>HYPERLINK("https://pokecottage.com/pokemon-master-sets/conkeldurr","Conkeldurr")</x:f>
        <x:v>HYPERLINK is not implemented. linkLocation=https://pokecottage.com/pokemon-master-sets/conkeldurr, friendlyName=Conkeldurr</x:v>
      </x:c>
      <x:c r="D535" s="8" t="str">
        <x:v>Gen 5 • Unova</x:v>
      </x:c>
      <x:c r="E535" s="8"/>
      <x:c r="F535" s="8"/>
    </x:row>
    <x:row r="536" ht="25" customHeight="1">
      <x:c r="A536" s="13" t="str">
        <x:v>☐</x:v>
      </x:c>
      <x:c r="B536" s="11" t="n">
        <x:v>535</x:v>
      </x:c>
      <x:c r="C536" s="15" t="e">
        <x:f>HYPERLINK("https://pokecottage.com/pokemon-master-sets/tympole","Tympole")</x:f>
        <x:v>HYPERLINK is not implemented. linkLocation=https://pokecottage.com/pokemon-master-sets/tympole, friendlyName=Tympole</x:v>
      </x:c>
      <x:c r="D536" s="7" t="str">
        <x:v>Gen 5 • Unova</x:v>
      </x:c>
      <x:c r="E536" s="7"/>
      <x:c r="F536" s="7"/>
    </x:row>
    <x:row r="537" ht="25" customHeight="1">
      <x:c r="A537" s="14" t="str">
        <x:v>☐</x:v>
      </x:c>
      <x:c r="B537" s="12" t="n">
        <x:v>536</x:v>
      </x:c>
      <x:c r="C537" s="16" t="e">
        <x:f>HYPERLINK("https://pokecottage.com/pokemon-master-sets/palpitoad","Palpitoad")</x:f>
        <x:v>HYPERLINK is not implemented. linkLocation=https://pokecottage.com/pokemon-master-sets/palpitoad, friendlyName=Palpitoad</x:v>
      </x:c>
      <x:c r="D537" s="8" t="str">
        <x:v>Gen 5 • Unova</x:v>
      </x:c>
      <x:c r="E537" s="8"/>
      <x:c r="F537" s="8"/>
    </x:row>
    <x:row r="538" ht="25" customHeight="1">
      <x:c r="A538" s="13" t="str">
        <x:v>☐</x:v>
      </x:c>
      <x:c r="B538" s="11" t="n">
        <x:v>537</x:v>
      </x:c>
      <x:c r="C538" s="15" t="e">
        <x:f>HYPERLINK("https://pokecottage.com/pokemon-master-sets/seismitoad","Seismitoad")</x:f>
        <x:v>HYPERLINK is not implemented. linkLocation=https://pokecottage.com/pokemon-master-sets/seismitoad, friendlyName=Seismitoad</x:v>
      </x:c>
      <x:c r="D538" s="7" t="str">
        <x:v>Gen 5 • Unova</x:v>
      </x:c>
      <x:c r="E538" s="7"/>
      <x:c r="F538" s="7"/>
    </x:row>
    <x:row r="539" ht="25" customHeight="1">
      <x:c r="A539" s="14" t="str">
        <x:v>☐</x:v>
      </x:c>
      <x:c r="B539" s="12" t="n">
        <x:v>538</x:v>
      </x:c>
      <x:c r="C539" s="16" t="e">
        <x:f>HYPERLINK("https://pokecottage.com/pokemon-master-sets/throh","Throh")</x:f>
        <x:v>HYPERLINK is not implemented. linkLocation=https://pokecottage.com/pokemon-master-sets/throh, friendlyName=Throh</x:v>
      </x:c>
      <x:c r="D539" s="8" t="str">
        <x:v>Gen 5 • Unova</x:v>
      </x:c>
      <x:c r="E539" s="8"/>
      <x:c r="F539" s="8"/>
    </x:row>
    <x:row r="540" ht="25" customHeight="1">
      <x:c r="A540" s="13" t="str">
        <x:v>☐</x:v>
      </x:c>
      <x:c r="B540" s="11" t="n">
        <x:v>539</x:v>
      </x:c>
      <x:c r="C540" s="15" t="e">
        <x:f>HYPERLINK("https://pokecottage.com/pokemon-master-sets/sawk","Sawk")</x:f>
        <x:v>HYPERLINK is not implemented. linkLocation=https://pokecottage.com/pokemon-master-sets/sawk, friendlyName=Sawk</x:v>
      </x:c>
      <x:c r="D540" s="7" t="str">
        <x:v>Gen 5 • Unova</x:v>
      </x:c>
      <x:c r="E540" s="7"/>
      <x:c r="F540" s="7"/>
    </x:row>
    <x:row r="541" ht="25" customHeight="1">
      <x:c r="A541" s="14" t="str">
        <x:v>☐</x:v>
      </x:c>
      <x:c r="B541" s="12" t="n">
        <x:v>540</x:v>
      </x:c>
      <x:c r="C541" s="16" t="e">
        <x:f>HYPERLINK("https://pokecottage.com/pokemon-master-sets/sewaddle","Sewaddle")</x:f>
        <x:v>HYPERLINK is not implemented. linkLocation=https://pokecottage.com/pokemon-master-sets/sewaddle, friendlyName=Sewaddle</x:v>
      </x:c>
      <x:c r="D541" s="8" t="str">
        <x:v>Gen 5 • Unova</x:v>
      </x:c>
      <x:c r="E541" s="8"/>
      <x:c r="F541" s="8"/>
    </x:row>
    <x:row r="542" ht="25" customHeight="1">
      <x:c r="A542" s="13" t="str">
        <x:v>☐</x:v>
      </x:c>
      <x:c r="B542" s="11" t="n">
        <x:v>541</x:v>
      </x:c>
      <x:c r="C542" s="15" t="e">
        <x:f>HYPERLINK("https://pokecottage.com/pokemon-master-sets/swadloon","Swadloon")</x:f>
        <x:v>HYPERLINK is not implemented. linkLocation=https://pokecottage.com/pokemon-master-sets/swadloon, friendlyName=Swadloon</x:v>
      </x:c>
      <x:c r="D542" s="7" t="str">
        <x:v>Gen 5 • Unova</x:v>
      </x:c>
      <x:c r="E542" s="7"/>
      <x:c r="F542" s="7"/>
    </x:row>
    <x:row r="543" ht="25" customHeight="1">
      <x:c r="A543" s="14" t="str">
        <x:v>☐</x:v>
      </x:c>
      <x:c r="B543" s="12" t="n">
        <x:v>542</x:v>
      </x:c>
      <x:c r="C543" s="16" t="e">
        <x:f>HYPERLINK("https://pokecottage.com/pokemon-master-sets/leavanny","Leavanny")</x:f>
        <x:v>HYPERLINK is not implemented. linkLocation=https://pokecottage.com/pokemon-master-sets/leavanny, friendlyName=Leavanny</x:v>
      </x:c>
      <x:c r="D543" s="8" t="str">
        <x:v>Gen 5 • Unova</x:v>
      </x:c>
      <x:c r="E543" s="8"/>
      <x:c r="F543" s="8"/>
    </x:row>
    <x:row r="544" ht="25" customHeight="1">
      <x:c r="A544" s="13" t="str">
        <x:v>☐</x:v>
      </x:c>
      <x:c r="B544" s="11" t="n">
        <x:v>543</x:v>
      </x:c>
      <x:c r="C544" s="15" t="e">
        <x:f>HYPERLINK("https://pokecottage.com/pokemon-master-sets/venipede","Venipede")</x:f>
        <x:v>HYPERLINK is not implemented. linkLocation=https://pokecottage.com/pokemon-master-sets/venipede, friendlyName=Venipede</x:v>
      </x:c>
      <x:c r="D544" s="7" t="str">
        <x:v>Gen 5 • Unova</x:v>
      </x:c>
      <x:c r="E544" s="7"/>
      <x:c r="F544" s="7"/>
    </x:row>
    <x:row r="545" ht="25" customHeight="1">
      <x:c r="A545" s="14" t="str">
        <x:v>☐</x:v>
      </x:c>
      <x:c r="B545" s="12" t="n">
        <x:v>544</x:v>
      </x:c>
      <x:c r="C545" s="16" t="e">
        <x:f>HYPERLINK("https://pokecottage.com/pokemon-master-sets/whirlipede","Whirlipede")</x:f>
        <x:v>HYPERLINK is not implemented. linkLocation=https://pokecottage.com/pokemon-master-sets/whirlipede, friendlyName=Whirlipede</x:v>
      </x:c>
      <x:c r="D545" s="8" t="str">
        <x:v>Gen 5 • Unova</x:v>
      </x:c>
      <x:c r="E545" s="8"/>
      <x:c r="F545" s="8"/>
    </x:row>
    <x:row r="546" ht="25" customHeight="1">
      <x:c r="A546" s="13" t="str">
        <x:v>☐</x:v>
      </x:c>
      <x:c r="B546" s="11" t="n">
        <x:v>545</x:v>
      </x:c>
      <x:c r="C546" s="15" t="e">
        <x:f>HYPERLINK("https://pokecottage.com/pokemon-master-sets/scolipede","Scolipede")</x:f>
        <x:v>HYPERLINK is not implemented. linkLocation=https://pokecottage.com/pokemon-master-sets/scolipede, friendlyName=Scolipede</x:v>
      </x:c>
      <x:c r="D546" s="7" t="str">
        <x:v>Gen 5 • Unova</x:v>
      </x:c>
      <x:c r="E546" s="7"/>
      <x:c r="F546" s="7"/>
    </x:row>
    <x:row r="547" ht="25" customHeight="1">
      <x:c r="A547" s="14" t="str">
        <x:v>☐</x:v>
      </x:c>
      <x:c r="B547" s="12" t="n">
        <x:v>546</x:v>
      </x:c>
      <x:c r="C547" s="16" t="e">
        <x:f>HYPERLINK("https://pokecottage.com/pokemon-master-sets/cottonee","Cottonee")</x:f>
        <x:v>HYPERLINK is not implemented. linkLocation=https://pokecottage.com/pokemon-master-sets/cottonee, friendlyName=Cottonee</x:v>
      </x:c>
      <x:c r="D547" s="8" t="str">
        <x:v>Gen 5 • Unova</x:v>
      </x:c>
      <x:c r="E547" s="8"/>
      <x:c r="F547" s="8"/>
    </x:row>
    <x:row r="548" ht="25" customHeight="1">
      <x:c r="A548" s="13" t="str">
        <x:v>☐</x:v>
      </x:c>
      <x:c r="B548" s="11" t="n">
        <x:v>547</x:v>
      </x:c>
      <x:c r="C548" s="15" t="e">
        <x:f>HYPERLINK("https://pokecottage.com/pokemon-master-sets/whimsicott","Whimsicott")</x:f>
        <x:v>HYPERLINK is not implemented. linkLocation=https://pokecottage.com/pokemon-master-sets/whimsicott, friendlyName=Whimsicott</x:v>
      </x:c>
      <x:c r="D548" s="7" t="str">
        <x:v>Gen 5 • Unova</x:v>
      </x:c>
      <x:c r="E548" s="7"/>
      <x:c r="F548" s="7"/>
    </x:row>
    <x:row r="549" ht="25" customHeight="1">
      <x:c r="A549" s="14" t="str">
        <x:v>☐</x:v>
      </x:c>
      <x:c r="B549" s="12" t="n">
        <x:v>548</x:v>
      </x:c>
      <x:c r="C549" s="16" t="e">
        <x:f>HYPERLINK("https://pokecottage.com/pokemon-master-sets/petilil","Petilil")</x:f>
        <x:v>HYPERLINK is not implemented. linkLocation=https://pokecottage.com/pokemon-master-sets/petilil, friendlyName=Petilil</x:v>
      </x:c>
      <x:c r="D549" s="8" t="str">
        <x:v>Gen 5 • Unova</x:v>
      </x:c>
      <x:c r="E549" s="8"/>
      <x:c r="F549" s="8"/>
    </x:row>
    <x:row r="550" ht="25" customHeight="1">
      <x:c r="A550" s="13" t="str">
        <x:v>☐</x:v>
      </x:c>
      <x:c r="B550" s="11" t="n">
        <x:v>549</x:v>
      </x:c>
      <x:c r="C550" s="15" t="e">
        <x:f>HYPERLINK("https://pokecottage.com/pokemon-master-sets/lilligant","Lilligant")</x:f>
        <x:v>HYPERLINK is not implemented. linkLocation=https://pokecottage.com/pokemon-master-sets/lilligant, friendlyName=Lilligant</x:v>
      </x:c>
      <x:c r="D550" s="7" t="str">
        <x:v>Gen 5 • Unova</x:v>
      </x:c>
      <x:c r="E550" s="7"/>
      <x:c r="F550" s="7"/>
    </x:row>
    <x:row r="551" ht="25" customHeight="1">
      <x:c r="A551" s="14" t="str">
        <x:v>☐</x:v>
      </x:c>
      <x:c r="B551" s="12" t="n">
        <x:v>550</x:v>
      </x:c>
      <x:c r="C551" s="16" t="e">
        <x:f>HYPERLINK("https://pokecottage.com/pokemon-master-sets/basculin","Basculin")</x:f>
        <x:v>HYPERLINK is not implemented. linkLocation=https://pokecottage.com/pokemon-master-sets/basculin, friendlyName=Basculin</x:v>
      </x:c>
      <x:c r="D551" s="8" t="str">
        <x:v>Gen 5 • Unova</x:v>
      </x:c>
      <x:c r="E551" s="8"/>
      <x:c r="F551" s="8"/>
    </x:row>
    <x:row r="552" ht="25" customHeight="1">
      <x:c r="A552" s="13" t="str">
        <x:v>☐</x:v>
      </x:c>
      <x:c r="B552" s="11" t="n">
        <x:v>551</x:v>
      </x:c>
      <x:c r="C552" s="15" t="e">
        <x:f>HYPERLINK("https://pokecottage.com/pokemon-master-sets/sandile","Sandile")</x:f>
        <x:v>HYPERLINK is not implemented. linkLocation=https://pokecottage.com/pokemon-master-sets/sandile, friendlyName=Sandile</x:v>
      </x:c>
      <x:c r="D552" s="7" t="str">
        <x:v>Gen 5 • Unova</x:v>
      </x:c>
      <x:c r="E552" s="7"/>
      <x:c r="F552" s="7"/>
    </x:row>
    <x:row r="553" ht="25" customHeight="1">
      <x:c r="A553" s="14" t="str">
        <x:v>☐</x:v>
      </x:c>
      <x:c r="B553" s="12" t="n">
        <x:v>552</x:v>
      </x:c>
      <x:c r="C553" s="16" t="e">
        <x:f>HYPERLINK("https://pokecottage.com/pokemon-master-sets/krokorok","Krokorok")</x:f>
        <x:v>HYPERLINK is not implemented. linkLocation=https://pokecottage.com/pokemon-master-sets/krokorok, friendlyName=Krokorok</x:v>
      </x:c>
      <x:c r="D553" s="8" t="str">
        <x:v>Gen 5 • Unova</x:v>
      </x:c>
      <x:c r="E553" s="8"/>
      <x:c r="F553" s="8"/>
    </x:row>
    <x:row r="554" ht="25" customHeight="1">
      <x:c r="A554" s="13" t="str">
        <x:v>☐</x:v>
      </x:c>
      <x:c r="B554" s="11" t="n">
        <x:v>553</x:v>
      </x:c>
      <x:c r="C554" s="15" t="e">
        <x:f>HYPERLINK("https://pokecottage.com/pokemon-master-sets/krookodile","Krookodile")</x:f>
        <x:v>HYPERLINK is not implemented. linkLocation=https://pokecottage.com/pokemon-master-sets/krookodile, friendlyName=Krookodile</x:v>
      </x:c>
      <x:c r="D554" s="7" t="str">
        <x:v>Gen 5 • Unova</x:v>
      </x:c>
      <x:c r="E554" s="7"/>
      <x:c r="F554" s="7"/>
    </x:row>
    <x:row r="555" ht="25" customHeight="1">
      <x:c r="A555" s="14" t="str">
        <x:v>☐</x:v>
      </x:c>
      <x:c r="B555" s="12" t="n">
        <x:v>554</x:v>
      </x:c>
      <x:c r="C555" s="16" t="e">
        <x:f>HYPERLINK("https://pokecottage.com/pokemon-master-sets/darumaka","Darumaka")</x:f>
        <x:v>HYPERLINK is not implemented. linkLocation=https://pokecottage.com/pokemon-master-sets/darumaka, friendlyName=Darumaka</x:v>
      </x:c>
      <x:c r="D555" s="8" t="str">
        <x:v>Gen 5 • Unova</x:v>
      </x:c>
      <x:c r="E555" s="8"/>
      <x:c r="F555" s="8"/>
    </x:row>
    <x:row r="556" ht="25" customHeight="1">
      <x:c r="A556" s="13" t="str">
        <x:v>☐</x:v>
      </x:c>
      <x:c r="B556" s="11" t="n">
        <x:v>555</x:v>
      </x:c>
      <x:c r="C556" s="15" t="e">
        <x:f>HYPERLINK("https://pokecottage.com/pokemon-master-sets/darmanitan","Darmanitan")</x:f>
        <x:v>HYPERLINK is not implemented. linkLocation=https://pokecottage.com/pokemon-master-sets/darmanitan, friendlyName=Darmanitan</x:v>
      </x:c>
      <x:c r="D556" s="7" t="str">
        <x:v>Gen 5 • Unova</x:v>
      </x:c>
      <x:c r="E556" s="7"/>
      <x:c r="F556" s="7"/>
    </x:row>
    <x:row r="557" ht="25" customHeight="1">
      <x:c r="A557" s="14" t="str">
        <x:v>☐</x:v>
      </x:c>
      <x:c r="B557" s="12" t="n">
        <x:v>556</x:v>
      </x:c>
      <x:c r="C557" s="16" t="e">
        <x:f>HYPERLINK("https://pokecottage.com/pokemon-master-sets/maractus","Maractus")</x:f>
        <x:v>HYPERLINK is not implemented. linkLocation=https://pokecottage.com/pokemon-master-sets/maractus, friendlyName=Maractus</x:v>
      </x:c>
      <x:c r="D557" s="8" t="str">
        <x:v>Gen 5 • Unova</x:v>
      </x:c>
      <x:c r="E557" s="8"/>
      <x:c r="F557" s="8"/>
    </x:row>
    <x:row r="558" ht="25" customHeight="1">
      <x:c r="A558" s="13" t="str">
        <x:v>☐</x:v>
      </x:c>
      <x:c r="B558" s="11" t="n">
        <x:v>557</x:v>
      </x:c>
      <x:c r="C558" s="15" t="e">
        <x:f>HYPERLINK("https://pokecottage.com/pokemon-master-sets/dwebble","Dwebble")</x:f>
        <x:v>HYPERLINK is not implemented. linkLocation=https://pokecottage.com/pokemon-master-sets/dwebble, friendlyName=Dwebble</x:v>
      </x:c>
      <x:c r="D558" s="7" t="str">
        <x:v>Gen 5 • Unova</x:v>
      </x:c>
      <x:c r="E558" s="7"/>
      <x:c r="F558" s="7"/>
    </x:row>
    <x:row r="559" ht="25" customHeight="1">
      <x:c r="A559" s="14" t="str">
        <x:v>☐</x:v>
      </x:c>
      <x:c r="B559" s="12" t="n">
        <x:v>558</x:v>
      </x:c>
      <x:c r="C559" s="16" t="e">
        <x:f>HYPERLINK("https://pokecottage.com/pokemon-master-sets/crustle","Crustle")</x:f>
        <x:v>HYPERLINK is not implemented. linkLocation=https://pokecottage.com/pokemon-master-sets/crustle, friendlyName=Crustle</x:v>
      </x:c>
      <x:c r="D559" s="8" t="str">
        <x:v>Gen 5 • Unova</x:v>
      </x:c>
      <x:c r="E559" s="8"/>
      <x:c r="F559" s="8"/>
    </x:row>
    <x:row r="560" ht="25" customHeight="1">
      <x:c r="A560" s="13" t="str">
        <x:v>☐</x:v>
      </x:c>
      <x:c r="B560" s="11" t="n">
        <x:v>559</x:v>
      </x:c>
      <x:c r="C560" s="15" t="e">
        <x:f>HYPERLINK("https://pokecottage.com/pokemon-master-sets/scraggy","Scraggy")</x:f>
        <x:v>HYPERLINK is not implemented. linkLocation=https://pokecottage.com/pokemon-master-sets/scraggy, friendlyName=Scraggy</x:v>
      </x:c>
      <x:c r="D560" s="7" t="str">
        <x:v>Gen 5 • Unova</x:v>
      </x:c>
      <x:c r="E560" s="7"/>
      <x:c r="F560" s="7"/>
    </x:row>
    <x:row r="561" ht="25" customHeight="1">
      <x:c r="A561" s="14" t="str">
        <x:v>☐</x:v>
      </x:c>
      <x:c r="B561" s="12" t="n">
        <x:v>560</x:v>
      </x:c>
      <x:c r="C561" s="16" t="e">
        <x:f>HYPERLINK("https://pokecottage.com/pokemon-master-sets/scrafty","Scrafty")</x:f>
        <x:v>HYPERLINK is not implemented. linkLocation=https://pokecottage.com/pokemon-master-sets/scrafty, friendlyName=Scrafty</x:v>
      </x:c>
      <x:c r="D561" s="8" t="str">
        <x:v>Gen 5 • Unova</x:v>
      </x:c>
      <x:c r="E561" s="8"/>
      <x:c r="F561" s="8"/>
    </x:row>
    <x:row r="562" ht="25" customHeight="1">
      <x:c r="A562" s="13" t="str">
        <x:v>☐</x:v>
      </x:c>
      <x:c r="B562" s="11" t="n">
        <x:v>561</x:v>
      </x:c>
      <x:c r="C562" s="15" t="e">
        <x:f>HYPERLINK("https://pokecottage.com/pokemon-master-sets/sigilyph","Sigilyph")</x:f>
        <x:v>HYPERLINK is not implemented. linkLocation=https://pokecottage.com/pokemon-master-sets/sigilyph, friendlyName=Sigilyph</x:v>
      </x:c>
      <x:c r="D562" s="7" t="str">
        <x:v>Gen 5 • Unova</x:v>
      </x:c>
      <x:c r="E562" s="7"/>
      <x:c r="F562" s="7"/>
    </x:row>
    <x:row r="563" ht="25" customHeight="1">
      <x:c r="A563" s="14" t="str">
        <x:v>☐</x:v>
      </x:c>
      <x:c r="B563" s="12" t="n">
        <x:v>562</x:v>
      </x:c>
      <x:c r="C563" s="16" t="e">
        <x:f>HYPERLINK("https://pokecottage.com/pokemon-master-sets/yamask","Yamask")</x:f>
        <x:v>HYPERLINK is not implemented. linkLocation=https://pokecottage.com/pokemon-master-sets/yamask, friendlyName=Yamask</x:v>
      </x:c>
      <x:c r="D563" s="8" t="str">
        <x:v>Gen 5 • Unova</x:v>
      </x:c>
      <x:c r="E563" s="8"/>
      <x:c r="F563" s="8"/>
    </x:row>
    <x:row r="564" ht="25" customHeight="1">
      <x:c r="A564" s="13" t="str">
        <x:v>☐</x:v>
      </x:c>
      <x:c r="B564" s="11" t="n">
        <x:v>563</x:v>
      </x:c>
      <x:c r="C564" s="15" t="e">
        <x:f>HYPERLINK("https://pokecottage.com/pokemon-master-sets/cofagrigus","Cofagrigus")</x:f>
        <x:v>HYPERLINK is not implemented. linkLocation=https://pokecottage.com/pokemon-master-sets/cofagrigus, friendlyName=Cofagrigus</x:v>
      </x:c>
      <x:c r="D564" s="7" t="str">
        <x:v>Gen 5 • Unova</x:v>
      </x:c>
      <x:c r="E564" s="7"/>
      <x:c r="F564" s="7"/>
    </x:row>
    <x:row r="565" ht="25" customHeight="1">
      <x:c r="A565" s="14" t="str">
        <x:v>☐</x:v>
      </x:c>
      <x:c r="B565" s="12" t="n">
        <x:v>564</x:v>
      </x:c>
      <x:c r="C565" s="16" t="e">
        <x:f>HYPERLINK("https://pokecottage.com/pokemon-master-sets/tirtouga","Tirtouga")</x:f>
        <x:v>HYPERLINK is not implemented. linkLocation=https://pokecottage.com/pokemon-master-sets/tirtouga, friendlyName=Tirtouga</x:v>
      </x:c>
      <x:c r="D565" s="8" t="str">
        <x:v>Gen 5 • Unova</x:v>
      </x:c>
      <x:c r="E565" s="8"/>
      <x:c r="F565" s="8"/>
    </x:row>
    <x:row r="566" ht="25" customHeight="1">
      <x:c r="A566" s="13" t="str">
        <x:v>☐</x:v>
      </x:c>
      <x:c r="B566" s="11" t="n">
        <x:v>565</x:v>
      </x:c>
      <x:c r="C566" s="15" t="e">
        <x:f>HYPERLINK("https://pokecottage.com/pokemon-master-sets/carracosta","Carracosta")</x:f>
        <x:v>HYPERLINK is not implemented. linkLocation=https://pokecottage.com/pokemon-master-sets/carracosta, friendlyName=Carracosta</x:v>
      </x:c>
      <x:c r="D566" s="7" t="str">
        <x:v>Gen 5 • Unova</x:v>
      </x:c>
      <x:c r="E566" s="7"/>
      <x:c r="F566" s="7"/>
    </x:row>
    <x:row r="567" ht="25" customHeight="1">
      <x:c r="A567" s="14" t="str">
        <x:v>☐</x:v>
      </x:c>
      <x:c r="B567" s="12" t="n">
        <x:v>566</x:v>
      </x:c>
      <x:c r="C567" s="16" t="e">
        <x:f>HYPERLINK("https://pokecottage.com/pokemon-master-sets/archen","Archen")</x:f>
        <x:v>HYPERLINK is not implemented. linkLocation=https://pokecottage.com/pokemon-master-sets/archen, friendlyName=Archen</x:v>
      </x:c>
      <x:c r="D567" s="8" t="str">
        <x:v>Gen 5 • Unova</x:v>
      </x:c>
      <x:c r="E567" s="8"/>
      <x:c r="F567" s="8"/>
    </x:row>
    <x:row r="568" ht="25" customHeight="1">
      <x:c r="A568" s="13" t="str">
        <x:v>☐</x:v>
      </x:c>
      <x:c r="B568" s="11" t="n">
        <x:v>567</x:v>
      </x:c>
      <x:c r="C568" s="15" t="e">
        <x:f>HYPERLINK("https://pokecottage.com/pokemon-master-sets/archeops","Archeops")</x:f>
        <x:v>HYPERLINK is not implemented. linkLocation=https://pokecottage.com/pokemon-master-sets/archeops, friendlyName=Archeops</x:v>
      </x:c>
      <x:c r="D568" s="7" t="str">
        <x:v>Gen 5 • Unova</x:v>
      </x:c>
      <x:c r="E568" s="7"/>
      <x:c r="F568" s="7"/>
    </x:row>
    <x:row r="569" ht="25" customHeight="1">
      <x:c r="A569" s="14" t="str">
        <x:v>☐</x:v>
      </x:c>
      <x:c r="B569" s="12" t="n">
        <x:v>568</x:v>
      </x:c>
      <x:c r="C569" s="16" t="e">
        <x:f>HYPERLINK("https://pokecottage.com/pokemon-master-sets/trubbish","Trubbish")</x:f>
        <x:v>HYPERLINK is not implemented. linkLocation=https://pokecottage.com/pokemon-master-sets/trubbish, friendlyName=Trubbish</x:v>
      </x:c>
      <x:c r="D569" s="8" t="str">
        <x:v>Gen 5 • Unova</x:v>
      </x:c>
      <x:c r="E569" s="8"/>
      <x:c r="F569" s="8"/>
    </x:row>
    <x:row r="570" ht="25" customHeight="1">
      <x:c r="A570" s="13" t="str">
        <x:v>☐</x:v>
      </x:c>
      <x:c r="B570" s="11" t="n">
        <x:v>569</x:v>
      </x:c>
      <x:c r="C570" s="15" t="e">
        <x:f>HYPERLINK("https://pokecottage.com/pokemon-master-sets/garbodor","Garbodor")</x:f>
        <x:v>HYPERLINK is not implemented. linkLocation=https://pokecottage.com/pokemon-master-sets/garbodor, friendlyName=Garbodor</x:v>
      </x:c>
      <x:c r="D570" s="7" t="str">
        <x:v>Gen 5 • Unova</x:v>
      </x:c>
      <x:c r="E570" s="7"/>
      <x:c r="F570" s="7"/>
    </x:row>
    <x:row r="571" ht="25" customHeight="1">
      <x:c r="A571" s="14" t="str">
        <x:v>☐</x:v>
      </x:c>
      <x:c r="B571" s="12" t="n">
        <x:v>570</x:v>
      </x:c>
      <x:c r="C571" s="16" t="e">
        <x:f>HYPERLINK("https://pokecottage.com/pokemon-master-sets/zorua","Zorua")</x:f>
        <x:v>HYPERLINK is not implemented. linkLocation=https://pokecottage.com/pokemon-master-sets/zorua, friendlyName=Zorua</x:v>
      </x:c>
      <x:c r="D571" s="8" t="str">
        <x:v>Gen 5 • Unova</x:v>
      </x:c>
      <x:c r="E571" s="8"/>
      <x:c r="F571" s="8"/>
    </x:row>
    <x:row r="572" ht="25" customHeight="1">
      <x:c r="A572" s="13" t="str">
        <x:v>☐</x:v>
      </x:c>
      <x:c r="B572" s="11" t="n">
        <x:v>571</x:v>
      </x:c>
      <x:c r="C572" s="15" t="e">
        <x:f>HYPERLINK("https://pokecottage.com/pokemon-master-sets/zoroark","Zoroark")</x:f>
        <x:v>HYPERLINK is not implemented. linkLocation=https://pokecottage.com/pokemon-master-sets/zoroark, friendlyName=Zoroark</x:v>
      </x:c>
      <x:c r="D572" s="7" t="str">
        <x:v>Gen 5 • Unova</x:v>
      </x:c>
      <x:c r="E572" s="7"/>
      <x:c r="F572" s="7"/>
    </x:row>
    <x:row r="573" ht="25" customHeight="1">
      <x:c r="A573" s="14" t="str">
        <x:v>☐</x:v>
      </x:c>
      <x:c r="B573" s="12" t="n">
        <x:v>572</x:v>
      </x:c>
      <x:c r="C573" s="16" t="e">
        <x:f>HYPERLINK("https://pokecottage.com/pokemon-master-sets/minccino","Minccino")</x:f>
        <x:v>HYPERLINK is not implemented. linkLocation=https://pokecottage.com/pokemon-master-sets/minccino, friendlyName=Minccino</x:v>
      </x:c>
      <x:c r="D573" s="8" t="str">
        <x:v>Gen 5 • Unova</x:v>
      </x:c>
      <x:c r="E573" s="8"/>
      <x:c r="F573" s="8"/>
    </x:row>
    <x:row r="574" ht="25" customHeight="1">
      <x:c r="A574" s="13" t="str">
        <x:v>☐</x:v>
      </x:c>
      <x:c r="B574" s="11" t="n">
        <x:v>573</x:v>
      </x:c>
      <x:c r="C574" s="15" t="e">
        <x:f>HYPERLINK("https://pokecottage.com/pokemon-master-sets/cinccino","Cinccino")</x:f>
        <x:v>HYPERLINK is not implemented. linkLocation=https://pokecottage.com/pokemon-master-sets/cinccino, friendlyName=Cinccino</x:v>
      </x:c>
      <x:c r="D574" s="7" t="str">
        <x:v>Gen 5 • Unova</x:v>
      </x:c>
      <x:c r="E574" s="7"/>
      <x:c r="F574" s="7"/>
    </x:row>
    <x:row r="575" ht="25" customHeight="1">
      <x:c r="A575" s="14" t="str">
        <x:v>☐</x:v>
      </x:c>
      <x:c r="B575" s="12" t="n">
        <x:v>574</x:v>
      </x:c>
      <x:c r="C575" s="16" t="e">
        <x:f>HYPERLINK("https://pokecottage.com/pokemon-master-sets/gothita","Gothita")</x:f>
        <x:v>HYPERLINK is not implemented. linkLocation=https://pokecottage.com/pokemon-master-sets/gothita, friendlyName=Gothita</x:v>
      </x:c>
      <x:c r="D575" s="8" t="str">
        <x:v>Gen 5 • Unova</x:v>
      </x:c>
      <x:c r="E575" s="8"/>
      <x:c r="F575" s="8"/>
    </x:row>
    <x:row r="576" ht="25" customHeight="1">
      <x:c r="A576" s="13" t="str">
        <x:v>☐</x:v>
      </x:c>
      <x:c r="B576" s="11" t="n">
        <x:v>575</x:v>
      </x:c>
      <x:c r="C576" s="15" t="e">
        <x:f>HYPERLINK("https://pokecottage.com/pokemon-master-sets/gothorita","Gothorita")</x:f>
        <x:v>HYPERLINK is not implemented. linkLocation=https://pokecottage.com/pokemon-master-sets/gothorita, friendlyName=Gothorita</x:v>
      </x:c>
      <x:c r="D576" s="7" t="str">
        <x:v>Gen 5 • Unova</x:v>
      </x:c>
      <x:c r="E576" s="7"/>
      <x:c r="F576" s="7"/>
    </x:row>
    <x:row r="577" ht="25" customHeight="1">
      <x:c r="A577" s="14" t="str">
        <x:v>☐</x:v>
      </x:c>
      <x:c r="B577" s="12" t="n">
        <x:v>576</x:v>
      </x:c>
      <x:c r="C577" s="16" t="e">
        <x:f>HYPERLINK("https://pokecottage.com/pokemon-master-sets/gothitelle","Gothitelle")</x:f>
        <x:v>HYPERLINK is not implemented. linkLocation=https://pokecottage.com/pokemon-master-sets/gothitelle, friendlyName=Gothitelle</x:v>
      </x:c>
      <x:c r="D577" s="8" t="str">
        <x:v>Gen 5 • Unova</x:v>
      </x:c>
      <x:c r="E577" s="8"/>
      <x:c r="F577" s="8"/>
    </x:row>
    <x:row r="578" ht="25" customHeight="1">
      <x:c r="A578" s="13" t="str">
        <x:v>☐</x:v>
      </x:c>
      <x:c r="B578" s="11" t="n">
        <x:v>577</x:v>
      </x:c>
      <x:c r="C578" s="15" t="e">
        <x:f>HYPERLINK("https://pokecottage.com/pokemon-master-sets/solosis","Solosis")</x:f>
        <x:v>HYPERLINK is not implemented. linkLocation=https://pokecottage.com/pokemon-master-sets/solosis, friendlyName=Solosis</x:v>
      </x:c>
      <x:c r="D578" s="7" t="str">
        <x:v>Gen 5 • Unova</x:v>
      </x:c>
      <x:c r="E578" s="7"/>
      <x:c r="F578" s="7"/>
    </x:row>
    <x:row r="579" ht="25" customHeight="1">
      <x:c r="A579" s="14" t="str">
        <x:v>☐</x:v>
      </x:c>
      <x:c r="B579" s="12" t="n">
        <x:v>578</x:v>
      </x:c>
      <x:c r="C579" s="16" t="e">
        <x:f>HYPERLINK("https://pokecottage.com/pokemon-master-sets/duosion","Duosion")</x:f>
        <x:v>HYPERLINK is not implemented. linkLocation=https://pokecottage.com/pokemon-master-sets/duosion, friendlyName=Duosion</x:v>
      </x:c>
      <x:c r="D579" s="8" t="str">
        <x:v>Gen 5 • Unova</x:v>
      </x:c>
      <x:c r="E579" s="8"/>
      <x:c r="F579" s="8"/>
    </x:row>
    <x:row r="580" ht="25" customHeight="1">
      <x:c r="A580" s="13" t="str">
        <x:v>☐</x:v>
      </x:c>
      <x:c r="B580" s="11" t="n">
        <x:v>579</x:v>
      </x:c>
      <x:c r="C580" s="15" t="e">
        <x:f>HYPERLINK("https://pokecottage.com/pokemon-master-sets/reuniclus","Reuniclus")</x:f>
        <x:v>HYPERLINK is not implemented. linkLocation=https://pokecottage.com/pokemon-master-sets/reuniclus, friendlyName=Reuniclus</x:v>
      </x:c>
      <x:c r="D580" s="7" t="str">
        <x:v>Gen 5 • Unova</x:v>
      </x:c>
      <x:c r="E580" s="7"/>
      <x:c r="F580" s="7"/>
    </x:row>
    <x:row r="581" ht="25" customHeight="1">
      <x:c r="A581" s="14" t="str">
        <x:v>☐</x:v>
      </x:c>
      <x:c r="B581" s="12" t="n">
        <x:v>580</x:v>
      </x:c>
      <x:c r="C581" s="16" t="e">
        <x:f>HYPERLINK("https://pokecottage.com/pokemon-master-sets/ducklett","Ducklett")</x:f>
        <x:v>HYPERLINK is not implemented. linkLocation=https://pokecottage.com/pokemon-master-sets/ducklett, friendlyName=Ducklett</x:v>
      </x:c>
      <x:c r="D581" s="8" t="str">
        <x:v>Gen 5 • Unova</x:v>
      </x:c>
      <x:c r="E581" s="8"/>
      <x:c r="F581" s="8"/>
    </x:row>
    <x:row r="582" ht="25" customHeight="1">
      <x:c r="A582" s="13" t="str">
        <x:v>☐</x:v>
      </x:c>
      <x:c r="B582" s="11" t="n">
        <x:v>581</x:v>
      </x:c>
      <x:c r="C582" s="15" t="e">
        <x:f>HYPERLINK("https://pokecottage.com/pokemon-master-sets/swanna","Swanna")</x:f>
        <x:v>HYPERLINK is not implemented. linkLocation=https://pokecottage.com/pokemon-master-sets/swanna, friendlyName=Swanna</x:v>
      </x:c>
      <x:c r="D582" s="7" t="str">
        <x:v>Gen 5 • Unova</x:v>
      </x:c>
      <x:c r="E582" s="7"/>
      <x:c r="F582" s="7"/>
    </x:row>
    <x:row r="583" ht="25" customHeight="1">
      <x:c r="A583" s="14" t="str">
        <x:v>☐</x:v>
      </x:c>
      <x:c r="B583" s="12" t="n">
        <x:v>582</x:v>
      </x:c>
      <x:c r="C583" s="16" t="e">
        <x:f>HYPERLINK("https://pokecottage.com/pokemon-master-sets/vanillite","Vanillite")</x:f>
        <x:v>HYPERLINK is not implemented. linkLocation=https://pokecottage.com/pokemon-master-sets/vanillite, friendlyName=Vanillite</x:v>
      </x:c>
      <x:c r="D583" s="8" t="str">
        <x:v>Gen 5 • Unova</x:v>
      </x:c>
      <x:c r="E583" s="8"/>
      <x:c r="F583" s="8"/>
    </x:row>
    <x:row r="584" ht="25" customHeight="1">
      <x:c r="A584" s="13" t="str">
        <x:v>☐</x:v>
      </x:c>
      <x:c r="B584" s="11" t="n">
        <x:v>583</x:v>
      </x:c>
      <x:c r="C584" s="15" t="e">
        <x:f>HYPERLINK("https://pokecottage.com/pokemon-master-sets/vanillish","Vanillish")</x:f>
        <x:v>HYPERLINK is not implemented. linkLocation=https://pokecottage.com/pokemon-master-sets/vanillish, friendlyName=Vanillish</x:v>
      </x:c>
      <x:c r="D584" s="7" t="str">
        <x:v>Gen 5 • Unova</x:v>
      </x:c>
      <x:c r="E584" s="7"/>
      <x:c r="F584" s="7"/>
    </x:row>
    <x:row r="585" ht="25" customHeight="1">
      <x:c r="A585" s="14" t="str">
        <x:v>☐</x:v>
      </x:c>
      <x:c r="B585" s="12" t="n">
        <x:v>584</x:v>
      </x:c>
      <x:c r="C585" s="16" t="e">
        <x:f>HYPERLINK("https://pokecottage.com/pokemon-master-sets/vanilluxe","Vanilluxe")</x:f>
        <x:v>HYPERLINK is not implemented. linkLocation=https://pokecottage.com/pokemon-master-sets/vanilluxe, friendlyName=Vanilluxe</x:v>
      </x:c>
      <x:c r="D585" s="8" t="str">
        <x:v>Gen 5 • Unova</x:v>
      </x:c>
      <x:c r="E585" s="8"/>
      <x:c r="F585" s="8"/>
    </x:row>
    <x:row r="586" ht="25" customHeight="1">
      <x:c r="A586" s="13" t="str">
        <x:v>☐</x:v>
      </x:c>
      <x:c r="B586" s="11" t="n">
        <x:v>585</x:v>
      </x:c>
      <x:c r="C586" s="15" t="e">
        <x:f>HYPERLINK("https://pokecottage.com/pokemon-master-sets/deerling","Deerling")</x:f>
        <x:v>HYPERLINK is not implemented. linkLocation=https://pokecottage.com/pokemon-master-sets/deerling, friendlyName=Deerling</x:v>
      </x:c>
      <x:c r="D586" s="7" t="str">
        <x:v>Gen 5 • Unova</x:v>
      </x:c>
      <x:c r="E586" s="7"/>
      <x:c r="F586" s="7"/>
    </x:row>
    <x:row r="587" ht="25" customHeight="1">
      <x:c r="A587" s="14" t="str">
        <x:v>☐</x:v>
      </x:c>
      <x:c r="B587" s="12" t="n">
        <x:v>586</x:v>
      </x:c>
      <x:c r="C587" s="16" t="e">
        <x:f>HYPERLINK("https://pokecottage.com/pokemon-master-sets/sawsbuck","Sawsbuck")</x:f>
        <x:v>HYPERLINK is not implemented. linkLocation=https://pokecottage.com/pokemon-master-sets/sawsbuck, friendlyName=Sawsbuck</x:v>
      </x:c>
      <x:c r="D587" s="8" t="str">
        <x:v>Gen 5 • Unova</x:v>
      </x:c>
      <x:c r="E587" s="8"/>
      <x:c r="F587" s="8"/>
    </x:row>
    <x:row r="588" ht="25" customHeight="1">
      <x:c r="A588" s="13" t="str">
        <x:v>☐</x:v>
      </x:c>
      <x:c r="B588" s="11" t="n">
        <x:v>587</x:v>
      </x:c>
      <x:c r="C588" s="15" t="e">
        <x:f>HYPERLINK("https://pokecottage.com/pokemon-master-sets/emolga","Emolga")</x:f>
        <x:v>HYPERLINK is not implemented. linkLocation=https://pokecottage.com/pokemon-master-sets/emolga, friendlyName=Emolga</x:v>
      </x:c>
      <x:c r="D588" s="7" t="str">
        <x:v>Gen 5 • Unova</x:v>
      </x:c>
      <x:c r="E588" s="7"/>
      <x:c r="F588" s="7"/>
    </x:row>
    <x:row r="589" ht="25" customHeight="1">
      <x:c r="A589" s="14" t="str">
        <x:v>☐</x:v>
      </x:c>
      <x:c r="B589" s="12" t="n">
        <x:v>588</x:v>
      </x:c>
      <x:c r="C589" s="16" t="e">
        <x:f>HYPERLINK("https://pokecottage.com/pokemon-master-sets/karrablast","Karrablast")</x:f>
        <x:v>HYPERLINK is not implemented. linkLocation=https://pokecottage.com/pokemon-master-sets/karrablast, friendlyName=Karrablast</x:v>
      </x:c>
      <x:c r="D589" s="8" t="str">
        <x:v>Gen 5 • Unova</x:v>
      </x:c>
      <x:c r="E589" s="8"/>
      <x:c r="F589" s="8"/>
    </x:row>
    <x:row r="590" ht="25" customHeight="1">
      <x:c r="A590" s="13" t="str">
        <x:v>☐</x:v>
      </x:c>
      <x:c r="B590" s="11" t="n">
        <x:v>589</x:v>
      </x:c>
      <x:c r="C590" s="15" t="e">
        <x:f>HYPERLINK("https://pokecottage.com/pokemon-master-sets/escavalier","Escavalier")</x:f>
        <x:v>HYPERLINK is not implemented. linkLocation=https://pokecottage.com/pokemon-master-sets/escavalier, friendlyName=Escavalier</x:v>
      </x:c>
      <x:c r="D590" s="7" t="str">
        <x:v>Gen 5 • Unova</x:v>
      </x:c>
      <x:c r="E590" s="7"/>
      <x:c r="F590" s="7"/>
    </x:row>
    <x:row r="591" ht="25" customHeight="1">
      <x:c r="A591" s="14" t="str">
        <x:v>☐</x:v>
      </x:c>
      <x:c r="B591" s="12" t="n">
        <x:v>590</x:v>
      </x:c>
      <x:c r="C591" s="16" t="e">
        <x:f>HYPERLINK("https://pokecottage.com/pokemon-master-sets/foongus","Foongus")</x:f>
        <x:v>HYPERLINK is not implemented. linkLocation=https://pokecottage.com/pokemon-master-sets/foongus, friendlyName=Foongus</x:v>
      </x:c>
      <x:c r="D591" s="8" t="str">
        <x:v>Gen 5 • Unova</x:v>
      </x:c>
      <x:c r="E591" s="8"/>
      <x:c r="F591" s="8"/>
    </x:row>
    <x:row r="592" ht="25" customHeight="1">
      <x:c r="A592" s="13" t="str">
        <x:v>☐</x:v>
      </x:c>
      <x:c r="B592" s="11" t="n">
        <x:v>591</x:v>
      </x:c>
      <x:c r="C592" s="15" t="e">
        <x:f>HYPERLINK("https://pokecottage.com/pokemon-master-sets/amoonguss","Amoonguss")</x:f>
        <x:v>HYPERLINK is not implemented. linkLocation=https://pokecottage.com/pokemon-master-sets/amoonguss, friendlyName=Amoonguss</x:v>
      </x:c>
      <x:c r="D592" s="7" t="str">
        <x:v>Gen 5 • Unova</x:v>
      </x:c>
      <x:c r="E592" s="7"/>
      <x:c r="F592" s="7"/>
    </x:row>
    <x:row r="593" ht="25" customHeight="1">
      <x:c r="A593" s="14" t="str">
        <x:v>☐</x:v>
      </x:c>
      <x:c r="B593" s="12" t="n">
        <x:v>592</x:v>
      </x:c>
      <x:c r="C593" s="16" t="e">
        <x:f>HYPERLINK("https://pokecottage.com/pokemon-master-sets/frillish","Frillish")</x:f>
        <x:v>HYPERLINK is not implemented. linkLocation=https://pokecottage.com/pokemon-master-sets/frillish, friendlyName=Frillish</x:v>
      </x:c>
      <x:c r="D593" s="8" t="str">
        <x:v>Gen 5 • Unova</x:v>
      </x:c>
      <x:c r="E593" s="8"/>
      <x:c r="F593" s="8"/>
    </x:row>
    <x:row r="594" ht="25" customHeight="1">
      <x:c r="A594" s="13" t="str">
        <x:v>☐</x:v>
      </x:c>
      <x:c r="B594" s="11" t="n">
        <x:v>593</x:v>
      </x:c>
      <x:c r="C594" s="15" t="e">
        <x:f>HYPERLINK("https://pokecottage.com/pokemon-master-sets/jellicent","Jellicent")</x:f>
        <x:v>HYPERLINK is not implemented. linkLocation=https://pokecottage.com/pokemon-master-sets/jellicent, friendlyName=Jellicent</x:v>
      </x:c>
      <x:c r="D594" s="7" t="str">
        <x:v>Gen 5 • Unova</x:v>
      </x:c>
      <x:c r="E594" s="7"/>
      <x:c r="F594" s="7"/>
    </x:row>
    <x:row r="595" ht="25" customHeight="1">
      <x:c r="A595" s="14" t="str">
        <x:v>☐</x:v>
      </x:c>
      <x:c r="B595" s="12" t="n">
        <x:v>594</x:v>
      </x:c>
      <x:c r="C595" s="16" t="e">
        <x:f>HYPERLINK("https://pokecottage.com/pokemon-master-sets/alomomola","Alomomola")</x:f>
        <x:v>HYPERLINK is not implemented. linkLocation=https://pokecottage.com/pokemon-master-sets/alomomola, friendlyName=Alomomola</x:v>
      </x:c>
      <x:c r="D595" s="8" t="str">
        <x:v>Gen 5 • Unova</x:v>
      </x:c>
      <x:c r="E595" s="8"/>
      <x:c r="F595" s="8"/>
    </x:row>
    <x:row r="596" ht="25" customHeight="1">
      <x:c r="A596" s="13" t="str">
        <x:v>☐</x:v>
      </x:c>
      <x:c r="B596" s="11" t="n">
        <x:v>595</x:v>
      </x:c>
      <x:c r="C596" s="15" t="e">
        <x:f>HYPERLINK("https://pokecottage.com/pokemon-master-sets/joltik","Joltik")</x:f>
        <x:v>HYPERLINK is not implemented. linkLocation=https://pokecottage.com/pokemon-master-sets/joltik, friendlyName=Joltik</x:v>
      </x:c>
      <x:c r="D596" s="7" t="str">
        <x:v>Gen 5 • Unova</x:v>
      </x:c>
      <x:c r="E596" s="7"/>
      <x:c r="F596" s="7"/>
    </x:row>
    <x:row r="597" ht="25" customHeight="1">
      <x:c r="A597" s="14" t="str">
        <x:v>☐</x:v>
      </x:c>
      <x:c r="B597" s="12" t="n">
        <x:v>596</x:v>
      </x:c>
      <x:c r="C597" s="16" t="e">
        <x:f>HYPERLINK("https://pokecottage.com/pokemon-master-sets/galvantula","Galvantula")</x:f>
        <x:v>HYPERLINK is not implemented. linkLocation=https://pokecottage.com/pokemon-master-sets/galvantula, friendlyName=Galvantula</x:v>
      </x:c>
      <x:c r="D597" s="8" t="str">
        <x:v>Gen 5 • Unova</x:v>
      </x:c>
      <x:c r="E597" s="8"/>
      <x:c r="F597" s="8"/>
    </x:row>
    <x:row r="598" ht="25" customHeight="1">
      <x:c r="A598" s="13" t="str">
        <x:v>☐</x:v>
      </x:c>
      <x:c r="B598" s="11" t="n">
        <x:v>597</x:v>
      </x:c>
      <x:c r="C598" s="15" t="e">
        <x:f>HYPERLINK("https://pokecottage.com/pokemon-master-sets/ferroseed","Ferroseed")</x:f>
        <x:v>HYPERLINK is not implemented. linkLocation=https://pokecottage.com/pokemon-master-sets/ferroseed, friendlyName=Ferroseed</x:v>
      </x:c>
      <x:c r="D598" s="7" t="str">
        <x:v>Gen 5 • Unova</x:v>
      </x:c>
      <x:c r="E598" s="7"/>
      <x:c r="F598" s="7"/>
    </x:row>
    <x:row r="599" ht="25" customHeight="1">
      <x:c r="A599" s="14" t="str">
        <x:v>☐</x:v>
      </x:c>
      <x:c r="B599" s="12" t="n">
        <x:v>598</x:v>
      </x:c>
      <x:c r="C599" s="16" t="e">
        <x:f>HYPERLINK("https://pokecottage.com/pokemon-master-sets/ferrothorn","Ferrothorn")</x:f>
        <x:v>HYPERLINK is not implemented. linkLocation=https://pokecottage.com/pokemon-master-sets/ferrothorn, friendlyName=Ferrothorn</x:v>
      </x:c>
      <x:c r="D599" s="8" t="str">
        <x:v>Gen 5 • Unova</x:v>
      </x:c>
      <x:c r="E599" s="8"/>
      <x:c r="F599" s="8"/>
    </x:row>
    <x:row r="600" ht="25" customHeight="1">
      <x:c r="A600" s="13" t="str">
        <x:v>☐</x:v>
      </x:c>
      <x:c r="B600" s="11" t="n">
        <x:v>599</x:v>
      </x:c>
      <x:c r="C600" s="15" t="e">
        <x:f>HYPERLINK("https://pokecottage.com/pokemon-master-sets/klink","Klink")</x:f>
        <x:v>HYPERLINK is not implemented. linkLocation=https://pokecottage.com/pokemon-master-sets/klink, friendlyName=Klink</x:v>
      </x:c>
      <x:c r="D600" s="7" t="str">
        <x:v>Gen 5 • Unova</x:v>
      </x:c>
      <x:c r="E600" s="7"/>
      <x:c r="F600" s="7"/>
    </x:row>
    <x:row r="601" ht="25" customHeight="1">
      <x:c r="A601" s="14" t="str">
        <x:v>☐</x:v>
      </x:c>
      <x:c r="B601" s="12" t="n">
        <x:v>600</x:v>
      </x:c>
      <x:c r="C601" s="16" t="e">
        <x:f>HYPERLINK("https://pokecottage.com/pokemon-master-sets/klang","Klang")</x:f>
        <x:v>HYPERLINK is not implemented. linkLocation=https://pokecottage.com/pokemon-master-sets/klang, friendlyName=Klang</x:v>
      </x:c>
      <x:c r="D601" s="8" t="str">
        <x:v>Gen 5 • Unova</x:v>
      </x:c>
      <x:c r="E601" s="8"/>
      <x:c r="F601" s="8"/>
    </x:row>
    <x:row r="602" ht="25" customHeight="1">
      <x:c r="A602" s="13" t="str">
        <x:v>☐</x:v>
      </x:c>
      <x:c r="B602" s="11" t="n">
        <x:v>601</x:v>
      </x:c>
      <x:c r="C602" s="15" t="e">
        <x:f>HYPERLINK("https://pokecottage.com/pokemon-master-sets/klinklang","Klinklang")</x:f>
        <x:v>HYPERLINK is not implemented. linkLocation=https://pokecottage.com/pokemon-master-sets/klinklang, friendlyName=Klinklang</x:v>
      </x:c>
      <x:c r="D602" s="7" t="str">
        <x:v>Gen 5 • Unova</x:v>
      </x:c>
      <x:c r="E602" s="7"/>
      <x:c r="F602" s="7"/>
    </x:row>
    <x:row r="603" ht="25" customHeight="1">
      <x:c r="A603" s="14" t="str">
        <x:v>☐</x:v>
      </x:c>
      <x:c r="B603" s="12" t="n">
        <x:v>602</x:v>
      </x:c>
      <x:c r="C603" s="16" t="e">
        <x:f>HYPERLINK("https://pokecottage.com/pokemon-master-sets/tynamo","Tynamo")</x:f>
        <x:v>HYPERLINK is not implemented. linkLocation=https://pokecottage.com/pokemon-master-sets/tynamo, friendlyName=Tynamo</x:v>
      </x:c>
      <x:c r="D603" s="8" t="str">
        <x:v>Gen 5 • Unova</x:v>
      </x:c>
      <x:c r="E603" s="8"/>
      <x:c r="F603" s="8"/>
    </x:row>
    <x:row r="604" ht="25" customHeight="1">
      <x:c r="A604" s="13" t="str">
        <x:v>☐</x:v>
      </x:c>
      <x:c r="B604" s="11" t="n">
        <x:v>603</x:v>
      </x:c>
      <x:c r="C604" s="15" t="e">
        <x:f>HYPERLINK("https://pokecottage.com/pokemon-master-sets/eelektrik","Eelektrik")</x:f>
        <x:v>HYPERLINK is not implemented. linkLocation=https://pokecottage.com/pokemon-master-sets/eelektrik, friendlyName=Eelektrik</x:v>
      </x:c>
      <x:c r="D604" s="7" t="str">
        <x:v>Gen 5 • Unova</x:v>
      </x:c>
      <x:c r="E604" s="7"/>
      <x:c r="F604" s="7"/>
    </x:row>
    <x:row r="605" ht="25" customHeight="1">
      <x:c r="A605" s="14" t="str">
        <x:v>☐</x:v>
      </x:c>
      <x:c r="B605" s="12" t="n">
        <x:v>604</x:v>
      </x:c>
      <x:c r="C605" s="16" t="e">
        <x:f>HYPERLINK("https://pokecottage.com/pokemon-master-sets/eelektross","Eelektross")</x:f>
        <x:v>HYPERLINK is not implemented. linkLocation=https://pokecottage.com/pokemon-master-sets/eelektross, friendlyName=Eelektross</x:v>
      </x:c>
      <x:c r="D605" s="8" t="str">
        <x:v>Gen 5 • Unova</x:v>
      </x:c>
      <x:c r="E605" s="8"/>
      <x:c r="F605" s="8"/>
    </x:row>
    <x:row r="606" ht="25" customHeight="1">
      <x:c r="A606" s="13" t="str">
        <x:v>☐</x:v>
      </x:c>
      <x:c r="B606" s="11" t="n">
        <x:v>605</x:v>
      </x:c>
      <x:c r="C606" s="15" t="e">
        <x:f>HYPERLINK("https://pokecottage.com/pokemon-master-sets/elgyem","Elgyem")</x:f>
        <x:v>HYPERLINK is not implemented. linkLocation=https://pokecottage.com/pokemon-master-sets/elgyem, friendlyName=Elgyem</x:v>
      </x:c>
      <x:c r="D606" s="7" t="str">
        <x:v>Gen 5 • Unova</x:v>
      </x:c>
      <x:c r="E606" s="7"/>
      <x:c r="F606" s="7"/>
    </x:row>
    <x:row r="607" ht="25" customHeight="1">
      <x:c r="A607" s="14" t="str">
        <x:v>☐</x:v>
      </x:c>
      <x:c r="B607" s="12" t="n">
        <x:v>606</x:v>
      </x:c>
      <x:c r="C607" s="16" t="e">
        <x:f>HYPERLINK("https://pokecottage.com/pokemon-master-sets/beheeyem","Beheeyem")</x:f>
        <x:v>HYPERLINK is not implemented. linkLocation=https://pokecottage.com/pokemon-master-sets/beheeyem, friendlyName=Beheeyem</x:v>
      </x:c>
      <x:c r="D607" s="8" t="str">
        <x:v>Gen 5 • Unova</x:v>
      </x:c>
      <x:c r="E607" s="8"/>
      <x:c r="F607" s="8"/>
    </x:row>
    <x:row r="608" ht="25" customHeight="1">
      <x:c r="A608" s="13" t="str">
        <x:v>☐</x:v>
      </x:c>
      <x:c r="B608" s="11" t="n">
        <x:v>607</x:v>
      </x:c>
      <x:c r="C608" s="15" t="e">
        <x:f>HYPERLINK("https://pokecottage.com/pokemon-master-sets/litwick","Litwick")</x:f>
        <x:v>HYPERLINK is not implemented. linkLocation=https://pokecottage.com/pokemon-master-sets/litwick, friendlyName=Litwick</x:v>
      </x:c>
      <x:c r="D608" s="7" t="str">
        <x:v>Gen 5 • Unova</x:v>
      </x:c>
      <x:c r="E608" s="7"/>
      <x:c r="F608" s="7"/>
    </x:row>
    <x:row r="609" ht="25" customHeight="1">
      <x:c r="A609" s="14" t="str">
        <x:v>☐</x:v>
      </x:c>
      <x:c r="B609" s="12" t="n">
        <x:v>608</x:v>
      </x:c>
      <x:c r="C609" s="16" t="e">
        <x:f>HYPERLINK("https://pokecottage.com/pokemon-master-sets/lampent","Lampent")</x:f>
        <x:v>HYPERLINK is not implemented. linkLocation=https://pokecottage.com/pokemon-master-sets/lampent, friendlyName=Lampent</x:v>
      </x:c>
      <x:c r="D609" s="8" t="str">
        <x:v>Gen 5 • Unova</x:v>
      </x:c>
      <x:c r="E609" s="8"/>
      <x:c r="F609" s="8"/>
    </x:row>
    <x:row r="610" ht="25" customHeight="1">
      <x:c r="A610" s="13" t="str">
        <x:v>☐</x:v>
      </x:c>
      <x:c r="B610" s="11" t="n">
        <x:v>609</x:v>
      </x:c>
      <x:c r="C610" s="15" t="e">
        <x:f>HYPERLINK("https://pokecottage.com/pokemon-master-sets/chandelure","Chandelure")</x:f>
        <x:v>HYPERLINK is not implemented. linkLocation=https://pokecottage.com/pokemon-master-sets/chandelure, friendlyName=Chandelure</x:v>
      </x:c>
      <x:c r="D610" s="7" t="str">
        <x:v>Gen 5 • Unova</x:v>
      </x:c>
      <x:c r="E610" s="7"/>
      <x:c r="F610" s="7"/>
    </x:row>
    <x:row r="611" ht="25" customHeight="1">
      <x:c r="A611" s="14" t="str">
        <x:v>☐</x:v>
      </x:c>
      <x:c r="B611" s="12" t="n">
        <x:v>610</x:v>
      </x:c>
      <x:c r="C611" s="16" t="e">
        <x:f>HYPERLINK("https://pokecottage.com/pokemon-master-sets/axew","Axew")</x:f>
        <x:v>HYPERLINK is not implemented. linkLocation=https://pokecottage.com/pokemon-master-sets/axew, friendlyName=Axew</x:v>
      </x:c>
      <x:c r="D611" s="8" t="str">
        <x:v>Gen 5 • Unova</x:v>
      </x:c>
      <x:c r="E611" s="8"/>
      <x:c r="F611" s="8"/>
    </x:row>
    <x:row r="612" ht="25" customHeight="1">
      <x:c r="A612" s="13" t="str">
        <x:v>☐</x:v>
      </x:c>
      <x:c r="B612" s="11" t="n">
        <x:v>611</x:v>
      </x:c>
      <x:c r="C612" s="15" t="e">
        <x:f>HYPERLINK("https://pokecottage.com/pokemon-master-sets/fraxure","Fraxure")</x:f>
        <x:v>HYPERLINK is not implemented. linkLocation=https://pokecottage.com/pokemon-master-sets/fraxure, friendlyName=Fraxure</x:v>
      </x:c>
      <x:c r="D612" s="7" t="str">
        <x:v>Gen 5 • Unova</x:v>
      </x:c>
      <x:c r="E612" s="7"/>
      <x:c r="F612" s="7"/>
    </x:row>
    <x:row r="613" ht="25" customHeight="1">
      <x:c r="A613" s="14" t="str">
        <x:v>☐</x:v>
      </x:c>
      <x:c r="B613" s="12" t="n">
        <x:v>612</x:v>
      </x:c>
      <x:c r="C613" s="16" t="e">
        <x:f>HYPERLINK("https://pokecottage.com/pokemon-master-sets/haxorus","Haxorus")</x:f>
        <x:v>HYPERLINK is not implemented. linkLocation=https://pokecottage.com/pokemon-master-sets/haxorus, friendlyName=Haxorus</x:v>
      </x:c>
      <x:c r="D613" s="8" t="str">
        <x:v>Gen 5 • Unova</x:v>
      </x:c>
      <x:c r="E613" s="8"/>
      <x:c r="F613" s="8"/>
    </x:row>
    <x:row r="614" ht="25" customHeight="1">
      <x:c r="A614" s="13" t="str">
        <x:v>☐</x:v>
      </x:c>
      <x:c r="B614" s="11" t="n">
        <x:v>613</x:v>
      </x:c>
      <x:c r="C614" s="15" t="e">
        <x:f>HYPERLINK("https://pokecottage.com/pokemon-master-sets/cubchoo","Cubchoo")</x:f>
        <x:v>HYPERLINK is not implemented. linkLocation=https://pokecottage.com/pokemon-master-sets/cubchoo, friendlyName=Cubchoo</x:v>
      </x:c>
      <x:c r="D614" s="7" t="str">
        <x:v>Gen 5 • Unova</x:v>
      </x:c>
      <x:c r="E614" s="7"/>
      <x:c r="F614" s="7"/>
    </x:row>
    <x:row r="615" ht="25" customHeight="1">
      <x:c r="A615" s="14" t="str">
        <x:v>☐</x:v>
      </x:c>
      <x:c r="B615" s="12" t="n">
        <x:v>614</x:v>
      </x:c>
      <x:c r="C615" s="16" t="e">
        <x:f>HYPERLINK("https://pokecottage.com/pokemon-master-sets/beartic","Beartic")</x:f>
        <x:v>HYPERLINK is not implemented. linkLocation=https://pokecottage.com/pokemon-master-sets/beartic, friendlyName=Beartic</x:v>
      </x:c>
      <x:c r="D615" s="8" t="str">
        <x:v>Gen 5 • Unova</x:v>
      </x:c>
      <x:c r="E615" s="8"/>
      <x:c r="F615" s="8"/>
    </x:row>
    <x:row r="616" ht="25" customHeight="1">
      <x:c r="A616" s="13" t="str">
        <x:v>☐</x:v>
      </x:c>
      <x:c r="B616" s="11" t="n">
        <x:v>615</x:v>
      </x:c>
      <x:c r="C616" s="15" t="e">
        <x:f>HYPERLINK("https://pokecottage.com/pokemon-master-sets/cryogonal","Cryogonal")</x:f>
        <x:v>HYPERLINK is not implemented. linkLocation=https://pokecottage.com/pokemon-master-sets/cryogonal, friendlyName=Cryogonal</x:v>
      </x:c>
      <x:c r="D616" s="7" t="str">
        <x:v>Gen 5 • Unova</x:v>
      </x:c>
      <x:c r="E616" s="7"/>
      <x:c r="F616" s="7"/>
    </x:row>
    <x:row r="617" ht="25" customHeight="1">
      <x:c r="A617" s="14" t="str">
        <x:v>☐</x:v>
      </x:c>
      <x:c r="B617" s="12" t="n">
        <x:v>616</x:v>
      </x:c>
      <x:c r="C617" s="16" t="e">
        <x:f>HYPERLINK("https://pokecottage.com/pokemon-master-sets/shelmet","Shelmet")</x:f>
        <x:v>HYPERLINK is not implemented. linkLocation=https://pokecottage.com/pokemon-master-sets/shelmet, friendlyName=Shelmet</x:v>
      </x:c>
      <x:c r="D617" s="8" t="str">
        <x:v>Gen 5 • Unova</x:v>
      </x:c>
      <x:c r="E617" s="8"/>
      <x:c r="F617" s="8"/>
    </x:row>
    <x:row r="618" ht="25" customHeight="1">
      <x:c r="A618" s="13" t="str">
        <x:v>☐</x:v>
      </x:c>
      <x:c r="B618" s="11" t="n">
        <x:v>617</x:v>
      </x:c>
      <x:c r="C618" s="15" t="e">
        <x:f>HYPERLINK("https://pokecottage.com/pokemon-master-sets/accelgor","Accelgor")</x:f>
        <x:v>HYPERLINK is not implemented. linkLocation=https://pokecottage.com/pokemon-master-sets/accelgor, friendlyName=Accelgor</x:v>
      </x:c>
      <x:c r="D618" s="7" t="str">
        <x:v>Gen 5 • Unova</x:v>
      </x:c>
      <x:c r="E618" s="7"/>
      <x:c r="F618" s="7"/>
    </x:row>
    <x:row r="619" ht="25" customHeight="1">
      <x:c r="A619" s="14" t="str">
        <x:v>☐</x:v>
      </x:c>
      <x:c r="B619" s="12" t="n">
        <x:v>618</x:v>
      </x:c>
      <x:c r="C619" s="16" t="e">
        <x:f>HYPERLINK("https://pokecottage.com/pokemon-master-sets/stunfisk","Stunfisk")</x:f>
        <x:v>HYPERLINK is not implemented. linkLocation=https://pokecottage.com/pokemon-master-sets/stunfisk, friendlyName=Stunfisk</x:v>
      </x:c>
      <x:c r="D619" s="8" t="str">
        <x:v>Gen 5 • Unova</x:v>
      </x:c>
      <x:c r="E619" s="8"/>
      <x:c r="F619" s="8"/>
    </x:row>
    <x:row r="620" ht="25" customHeight="1">
      <x:c r="A620" s="13" t="str">
        <x:v>☐</x:v>
      </x:c>
      <x:c r="B620" s="11" t="n">
        <x:v>619</x:v>
      </x:c>
      <x:c r="C620" s="15" t="e">
        <x:f>HYPERLINK("https://pokecottage.com/pokemon-master-sets/mienfoo","Mienfoo")</x:f>
        <x:v>HYPERLINK is not implemented. linkLocation=https://pokecottage.com/pokemon-master-sets/mienfoo, friendlyName=Mienfoo</x:v>
      </x:c>
      <x:c r="D620" s="7" t="str">
        <x:v>Gen 5 • Unova</x:v>
      </x:c>
      <x:c r="E620" s="7"/>
      <x:c r="F620" s="7"/>
    </x:row>
    <x:row r="621" ht="25" customHeight="1">
      <x:c r="A621" s="14" t="str">
        <x:v>☐</x:v>
      </x:c>
      <x:c r="B621" s="12" t="n">
        <x:v>620</x:v>
      </x:c>
      <x:c r="C621" s="16" t="e">
        <x:f>HYPERLINK("https://pokecottage.com/pokemon-master-sets/mienshao","Mienshao")</x:f>
        <x:v>HYPERLINK is not implemented. linkLocation=https://pokecottage.com/pokemon-master-sets/mienshao, friendlyName=Mienshao</x:v>
      </x:c>
      <x:c r="D621" s="8" t="str">
        <x:v>Gen 5 • Unova</x:v>
      </x:c>
      <x:c r="E621" s="8"/>
      <x:c r="F621" s="8"/>
    </x:row>
    <x:row r="622" ht="25" customHeight="1">
      <x:c r="A622" s="13" t="str">
        <x:v>☐</x:v>
      </x:c>
      <x:c r="B622" s="11" t="n">
        <x:v>621</x:v>
      </x:c>
      <x:c r="C622" s="15" t="e">
        <x:f>HYPERLINK("https://pokecottage.com/pokemon-master-sets/druddigon","Druddigon")</x:f>
        <x:v>HYPERLINK is not implemented. linkLocation=https://pokecottage.com/pokemon-master-sets/druddigon, friendlyName=Druddigon</x:v>
      </x:c>
      <x:c r="D622" s="7" t="str">
        <x:v>Gen 5 • Unova</x:v>
      </x:c>
      <x:c r="E622" s="7"/>
      <x:c r="F622" s="7"/>
    </x:row>
    <x:row r="623" ht="25" customHeight="1">
      <x:c r="A623" s="14" t="str">
        <x:v>☐</x:v>
      </x:c>
      <x:c r="B623" s="12" t="n">
        <x:v>622</x:v>
      </x:c>
      <x:c r="C623" s="16" t="e">
        <x:f>HYPERLINK("https://pokecottage.com/pokemon-master-sets/golett","Golett")</x:f>
        <x:v>HYPERLINK is not implemented. linkLocation=https://pokecottage.com/pokemon-master-sets/golett, friendlyName=Golett</x:v>
      </x:c>
      <x:c r="D623" s="8" t="str">
        <x:v>Gen 5 • Unova</x:v>
      </x:c>
      <x:c r="E623" s="8"/>
      <x:c r="F623" s="8"/>
    </x:row>
    <x:row r="624" ht="25" customHeight="1">
      <x:c r="A624" s="13" t="str">
        <x:v>☐</x:v>
      </x:c>
      <x:c r="B624" s="11" t="n">
        <x:v>623</x:v>
      </x:c>
      <x:c r="C624" s="15" t="e">
        <x:f>HYPERLINK("https://pokecottage.com/pokemon-master-sets/golurk","Golurk")</x:f>
        <x:v>HYPERLINK is not implemented. linkLocation=https://pokecottage.com/pokemon-master-sets/golurk, friendlyName=Golurk</x:v>
      </x:c>
      <x:c r="D624" s="7" t="str">
        <x:v>Gen 5 • Unova</x:v>
      </x:c>
      <x:c r="E624" s="7"/>
      <x:c r="F624" s="7"/>
    </x:row>
    <x:row r="625" ht="25" customHeight="1">
      <x:c r="A625" s="14" t="str">
        <x:v>☐</x:v>
      </x:c>
      <x:c r="B625" s="12" t="n">
        <x:v>624</x:v>
      </x:c>
      <x:c r="C625" s="16" t="e">
        <x:f>HYPERLINK("https://pokecottage.com/pokemon-master-sets/pawniard","Pawniard")</x:f>
        <x:v>HYPERLINK is not implemented. linkLocation=https://pokecottage.com/pokemon-master-sets/pawniard, friendlyName=Pawniard</x:v>
      </x:c>
      <x:c r="D625" s="8" t="str">
        <x:v>Gen 5 • Unova</x:v>
      </x:c>
      <x:c r="E625" s="8"/>
      <x:c r="F625" s="8"/>
    </x:row>
    <x:row r="626" ht="25" customHeight="1">
      <x:c r="A626" s="13" t="str">
        <x:v>☐</x:v>
      </x:c>
      <x:c r="B626" s="11" t="n">
        <x:v>625</x:v>
      </x:c>
      <x:c r="C626" s="15" t="e">
        <x:f>HYPERLINK("https://pokecottage.com/pokemon-master-sets/bisharp","Bisharp")</x:f>
        <x:v>HYPERLINK is not implemented. linkLocation=https://pokecottage.com/pokemon-master-sets/bisharp, friendlyName=Bisharp</x:v>
      </x:c>
      <x:c r="D626" s="7" t="str">
        <x:v>Gen 5 • Unova</x:v>
      </x:c>
      <x:c r="E626" s="7"/>
      <x:c r="F626" s="7"/>
    </x:row>
    <x:row r="627" ht="25" customHeight="1">
      <x:c r="A627" s="14" t="str">
        <x:v>☐</x:v>
      </x:c>
      <x:c r="B627" s="12" t="n">
        <x:v>626</x:v>
      </x:c>
      <x:c r="C627" s="16" t="e">
        <x:f>HYPERLINK("https://pokecottage.com/pokemon-master-sets/bouffalant","Bouffalant")</x:f>
        <x:v>HYPERLINK is not implemented. linkLocation=https://pokecottage.com/pokemon-master-sets/bouffalant, friendlyName=Bouffalant</x:v>
      </x:c>
      <x:c r="D627" s="8" t="str">
        <x:v>Gen 5 • Unova</x:v>
      </x:c>
      <x:c r="E627" s="8"/>
      <x:c r="F627" s="8"/>
    </x:row>
    <x:row r="628" ht="25" customHeight="1">
      <x:c r="A628" s="13" t="str">
        <x:v>☐</x:v>
      </x:c>
      <x:c r="B628" s="11" t="n">
        <x:v>627</x:v>
      </x:c>
      <x:c r="C628" s="15" t="e">
        <x:f>HYPERLINK("https://pokecottage.com/pokemon-master-sets/rufflet","Rufflet")</x:f>
        <x:v>HYPERLINK is not implemented. linkLocation=https://pokecottage.com/pokemon-master-sets/rufflet, friendlyName=Rufflet</x:v>
      </x:c>
      <x:c r="D628" s="7" t="str">
        <x:v>Gen 5 • Unova</x:v>
      </x:c>
      <x:c r="E628" s="7"/>
      <x:c r="F628" s="7"/>
    </x:row>
    <x:row r="629" ht="25" customHeight="1">
      <x:c r="A629" s="14" t="str">
        <x:v>☐</x:v>
      </x:c>
      <x:c r="B629" s="12" t="n">
        <x:v>628</x:v>
      </x:c>
      <x:c r="C629" s="16" t="e">
        <x:f>HYPERLINK("https://pokecottage.com/pokemon-master-sets/braviary","Braviary")</x:f>
        <x:v>HYPERLINK is not implemented. linkLocation=https://pokecottage.com/pokemon-master-sets/braviary, friendlyName=Braviary</x:v>
      </x:c>
      <x:c r="D629" s="8" t="str">
        <x:v>Gen 5 • Unova</x:v>
      </x:c>
      <x:c r="E629" s="8"/>
      <x:c r="F629" s="8"/>
    </x:row>
    <x:row r="630" ht="25" customHeight="1">
      <x:c r="A630" s="13" t="str">
        <x:v>☐</x:v>
      </x:c>
      <x:c r="B630" s="11" t="n">
        <x:v>629</x:v>
      </x:c>
      <x:c r="C630" s="15" t="e">
        <x:f>HYPERLINK("https://pokecottage.com/pokemon-master-sets/vullaby","Vullaby")</x:f>
        <x:v>HYPERLINK is not implemented. linkLocation=https://pokecottage.com/pokemon-master-sets/vullaby, friendlyName=Vullaby</x:v>
      </x:c>
      <x:c r="D630" s="7" t="str">
        <x:v>Gen 5 • Unova</x:v>
      </x:c>
      <x:c r="E630" s="7"/>
      <x:c r="F630" s="7"/>
    </x:row>
    <x:row r="631" ht="25" customHeight="1">
      <x:c r="A631" s="14" t="str">
        <x:v>☐</x:v>
      </x:c>
      <x:c r="B631" s="12" t="n">
        <x:v>630</x:v>
      </x:c>
      <x:c r="C631" s="16" t="e">
        <x:f>HYPERLINK("https://pokecottage.com/pokemon-master-sets/mandibuzz","Mandibuzz")</x:f>
        <x:v>HYPERLINK is not implemented. linkLocation=https://pokecottage.com/pokemon-master-sets/mandibuzz, friendlyName=Mandibuzz</x:v>
      </x:c>
      <x:c r="D631" s="8" t="str">
        <x:v>Gen 5 • Unova</x:v>
      </x:c>
      <x:c r="E631" s="8"/>
      <x:c r="F631" s="8"/>
    </x:row>
    <x:row r="632" ht="25" customHeight="1">
      <x:c r="A632" s="13" t="str">
        <x:v>☐</x:v>
      </x:c>
      <x:c r="B632" s="11" t="n">
        <x:v>631</x:v>
      </x:c>
      <x:c r="C632" s="15" t="e">
        <x:f>HYPERLINK("https://pokecottage.com/pokemon-master-sets/heatmor","Heatmor")</x:f>
        <x:v>HYPERLINK is not implemented. linkLocation=https://pokecottage.com/pokemon-master-sets/heatmor, friendlyName=Heatmor</x:v>
      </x:c>
      <x:c r="D632" s="7" t="str">
        <x:v>Gen 5 • Unova</x:v>
      </x:c>
      <x:c r="E632" s="7"/>
      <x:c r="F632" s="7"/>
    </x:row>
    <x:row r="633" ht="25" customHeight="1">
      <x:c r="A633" s="14" t="str">
        <x:v>☐</x:v>
      </x:c>
      <x:c r="B633" s="12" t="n">
        <x:v>632</x:v>
      </x:c>
      <x:c r="C633" s="16" t="e">
        <x:f>HYPERLINK("https://pokecottage.com/pokemon-master-sets/durant","Durant")</x:f>
        <x:v>HYPERLINK is not implemented. linkLocation=https://pokecottage.com/pokemon-master-sets/durant, friendlyName=Durant</x:v>
      </x:c>
      <x:c r="D633" s="8" t="str">
        <x:v>Gen 5 • Unova</x:v>
      </x:c>
      <x:c r="E633" s="8"/>
      <x:c r="F633" s="8"/>
    </x:row>
    <x:row r="634" ht="25" customHeight="1">
      <x:c r="A634" s="13" t="str">
        <x:v>☐</x:v>
      </x:c>
      <x:c r="B634" s="11" t="n">
        <x:v>633</x:v>
      </x:c>
      <x:c r="C634" s="15" t="e">
        <x:f>HYPERLINK("https://pokecottage.com/pokemon-master-sets/deino","Deino")</x:f>
        <x:v>HYPERLINK is not implemented. linkLocation=https://pokecottage.com/pokemon-master-sets/deino, friendlyName=Deino</x:v>
      </x:c>
      <x:c r="D634" s="7" t="str">
        <x:v>Gen 5 • Unova</x:v>
      </x:c>
      <x:c r="E634" s="7"/>
      <x:c r="F634" s="7"/>
    </x:row>
    <x:row r="635" ht="25" customHeight="1">
      <x:c r="A635" s="14" t="str">
        <x:v>☐</x:v>
      </x:c>
      <x:c r="B635" s="12" t="n">
        <x:v>634</x:v>
      </x:c>
      <x:c r="C635" s="16" t="e">
        <x:f>HYPERLINK("https://pokecottage.com/pokemon-master-sets/zweilous","Zweilous")</x:f>
        <x:v>HYPERLINK is not implemented. linkLocation=https://pokecottage.com/pokemon-master-sets/zweilous, friendlyName=Zweilous</x:v>
      </x:c>
      <x:c r="D635" s="8" t="str">
        <x:v>Gen 5 • Unova</x:v>
      </x:c>
      <x:c r="E635" s="8"/>
      <x:c r="F635" s="8"/>
    </x:row>
    <x:row r="636" ht="25" customHeight="1">
      <x:c r="A636" s="13" t="str">
        <x:v>☐</x:v>
      </x:c>
      <x:c r="B636" s="11" t="n">
        <x:v>635</x:v>
      </x:c>
      <x:c r="C636" s="15" t="e">
        <x:f>HYPERLINK("https://pokecottage.com/pokemon-master-sets/hydreigon","Hydreigon")</x:f>
        <x:v>HYPERLINK is not implemented. linkLocation=https://pokecottage.com/pokemon-master-sets/hydreigon, friendlyName=Hydreigon</x:v>
      </x:c>
      <x:c r="D636" s="7" t="str">
        <x:v>Gen 5 • Unova</x:v>
      </x:c>
      <x:c r="E636" s="7"/>
      <x:c r="F636" s="7"/>
    </x:row>
    <x:row r="637" ht="25" customHeight="1">
      <x:c r="A637" s="14" t="str">
        <x:v>☐</x:v>
      </x:c>
      <x:c r="B637" s="12" t="n">
        <x:v>636</x:v>
      </x:c>
      <x:c r="C637" s="16" t="e">
        <x:f>HYPERLINK("https://pokecottage.com/pokemon-master-sets/larvesta","Larvesta")</x:f>
        <x:v>HYPERLINK is not implemented. linkLocation=https://pokecottage.com/pokemon-master-sets/larvesta, friendlyName=Larvesta</x:v>
      </x:c>
      <x:c r="D637" s="8" t="str">
        <x:v>Gen 5 • Unova</x:v>
      </x:c>
      <x:c r="E637" s="8"/>
      <x:c r="F637" s="8"/>
    </x:row>
    <x:row r="638" ht="25" customHeight="1">
      <x:c r="A638" s="13" t="str">
        <x:v>☐</x:v>
      </x:c>
      <x:c r="B638" s="11" t="n">
        <x:v>637</x:v>
      </x:c>
      <x:c r="C638" s="15" t="e">
        <x:f>HYPERLINK("https://pokecottage.com/pokemon-master-sets/volcarona","Volcarona")</x:f>
        <x:v>HYPERLINK is not implemented. linkLocation=https://pokecottage.com/pokemon-master-sets/volcarona, friendlyName=Volcarona</x:v>
      </x:c>
      <x:c r="D638" s="7" t="str">
        <x:v>Gen 5 • Unova</x:v>
      </x:c>
      <x:c r="E638" s="7"/>
      <x:c r="F638" s="7"/>
    </x:row>
    <x:row r="639" ht="25" customHeight="1">
      <x:c r="A639" s="14" t="str">
        <x:v>☐</x:v>
      </x:c>
      <x:c r="B639" s="12" t="n">
        <x:v>638</x:v>
      </x:c>
      <x:c r="C639" s="16" t="e">
        <x:f>HYPERLINK("https://pokecottage.com/pokemon-master-sets/cobalion","Cobalion")</x:f>
        <x:v>HYPERLINK is not implemented. linkLocation=https://pokecottage.com/pokemon-master-sets/cobalion, friendlyName=Cobalion</x:v>
      </x:c>
      <x:c r="D639" s="8" t="str">
        <x:v>Gen 5 • Unova</x:v>
      </x:c>
      <x:c r="E639" s="8"/>
      <x:c r="F639" s="8"/>
    </x:row>
    <x:row r="640" ht="25" customHeight="1">
      <x:c r="A640" s="13" t="str">
        <x:v>☐</x:v>
      </x:c>
      <x:c r="B640" s="11" t="n">
        <x:v>639</x:v>
      </x:c>
      <x:c r="C640" s="15" t="e">
        <x:f>HYPERLINK("https://pokecottage.com/pokemon-master-sets/terrakion","Terrakion")</x:f>
        <x:v>HYPERLINK is not implemented. linkLocation=https://pokecottage.com/pokemon-master-sets/terrakion, friendlyName=Terrakion</x:v>
      </x:c>
      <x:c r="D640" s="7" t="str">
        <x:v>Gen 5 • Unova</x:v>
      </x:c>
      <x:c r="E640" s="7"/>
      <x:c r="F640" s="7"/>
    </x:row>
    <x:row r="641" ht="25" customHeight="1">
      <x:c r="A641" s="14" t="str">
        <x:v>☐</x:v>
      </x:c>
      <x:c r="B641" s="12" t="n">
        <x:v>640</x:v>
      </x:c>
      <x:c r="C641" s="16" t="e">
        <x:f>HYPERLINK("https://pokecottage.com/pokemon-master-sets/virizion","Virizion")</x:f>
        <x:v>HYPERLINK is not implemented. linkLocation=https://pokecottage.com/pokemon-master-sets/virizion, friendlyName=Virizion</x:v>
      </x:c>
      <x:c r="D641" s="8" t="str">
        <x:v>Gen 5 • Unova</x:v>
      </x:c>
      <x:c r="E641" s="8"/>
      <x:c r="F641" s="8"/>
    </x:row>
    <x:row r="642" ht="25" customHeight="1">
      <x:c r="A642" s="13" t="str">
        <x:v>☐</x:v>
      </x:c>
      <x:c r="B642" s="11" t="n">
        <x:v>641</x:v>
      </x:c>
      <x:c r="C642" s="15" t="e">
        <x:f>HYPERLINK("https://pokecottage.com/pokemon-master-sets/tornadus","Tornadus")</x:f>
        <x:v>HYPERLINK is not implemented. linkLocation=https://pokecottage.com/pokemon-master-sets/tornadus, friendlyName=Tornadus</x:v>
      </x:c>
      <x:c r="D642" s="7" t="str">
        <x:v>Gen 5 • Unova</x:v>
      </x:c>
      <x:c r="E642" s="7"/>
      <x:c r="F642" s="7"/>
    </x:row>
    <x:row r="643" ht="25" customHeight="1">
      <x:c r="A643" s="14" t="str">
        <x:v>☐</x:v>
      </x:c>
      <x:c r="B643" s="12" t="n">
        <x:v>642</x:v>
      </x:c>
      <x:c r="C643" s="16" t="e">
        <x:f>HYPERLINK("https://pokecottage.com/pokemon-master-sets/thundurus","Thundurus")</x:f>
        <x:v>HYPERLINK is not implemented. linkLocation=https://pokecottage.com/pokemon-master-sets/thundurus, friendlyName=Thundurus</x:v>
      </x:c>
      <x:c r="D643" s="8" t="str">
        <x:v>Gen 5 • Unova</x:v>
      </x:c>
      <x:c r="E643" s="8"/>
      <x:c r="F643" s="8"/>
    </x:row>
    <x:row r="644" ht="25" customHeight="1">
      <x:c r="A644" s="13" t="str">
        <x:v>☐</x:v>
      </x:c>
      <x:c r="B644" s="11" t="n">
        <x:v>643</x:v>
      </x:c>
      <x:c r="C644" s="15" t="e">
        <x:f>HYPERLINK("https://pokecottage.com/pokemon-master-sets/reshiram","Reshiram")</x:f>
        <x:v>HYPERLINK is not implemented. linkLocation=https://pokecottage.com/pokemon-master-sets/reshiram, friendlyName=Reshiram</x:v>
      </x:c>
      <x:c r="D644" s="7" t="str">
        <x:v>Gen 5 • Unova</x:v>
      </x:c>
      <x:c r="E644" s="7"/>
      <x:c r="F644" s="7"/>
    </x:row>
    <x:row r="645" ht="25" customHeight="1">
      <x:c r="A645" s="14" t="str">
        <x:v>☐</x:v>
      </x:c>
      <x:c r="B645" s="12" t="n">
        <x:v>644</x:v>
      </x:c>
      <x:c r="C645" s="16" t="e">
        <x:f>HYPERLINK("https://pokecottage.com/pokemon-master-sets/zekrom","Zekrom")</x:f>
        <x:v>HYPERLINK is not implemented. linkLocation=https://pokecottage.com/pokemon-master-sets/zekrom, friendlyName=Zekrom</x:v>
      </x:c>
      <x:c r="D645" s="8" t="str">
        <x:v>Gen 5 • Unova</x:v>
      </x:c>
      <x:c r="E645" s="8"/>
      <x:c r="F645" s="8"/>
    </x:row>
    <x:row r="646" ht="25" customHeight="1">
      <x:c r="A646" s="13" t="str">
        <x:v>☐</x:v>
      </x:c>
      <x:c r="B646" s="11" t="n">
        <x:v>645</x:v>
      </x:c>
      <x:c r="C646" s="15" t="e">
        <x:f>HYPERLINK("https://pokecottage.com/pokemon-master-sets/landorus","Landorus")</x:f>
        <x:v>HYPERLINK is not implemented. linkLocation=https://pokecottage.com/pokemon-master-sets/landorus, friendlyName=Landorus</x:v>
      </x:c>
      <x:c r="D646" s="7" t="str">
        <x:v>Gen 5 • Unova</x:v>
      </x:c>
      <x:c r="E646" s="7"/>
      <x:c r="F646" s="7"/>
    </x:row>
    <x:row r="647" ht="25" customHeight="1">
      <x:c r="A647" s="14" t="str">
        <x:v>☐</x:v>
      </x:c>
      <x:c r="B647" s="12" t="n">
        <x:v>646</x:v>
      </x:c>
      <x:c r="C647" s="16" t="e">
        <x:f>HYPERLINK("https://pokecottage.com/pokemon-master-sets/kyurem","Kyurem")</x:f>
        <x:v>HYPERLINK is not implemented. linkLocation=https://pokecottage.com/pokemon-master-sets/kyurem, friendlyName=Kyurem</x:v>
      </x:c>
      <x:c r="D647" s="8" t="str">
        <x:v>Gen 5 • Unova</x:v>
      </x:c>
      <x:c r="E647" s="8"/>
      <x:c r="F647" s="8"/>
    </x:row>
    <x:row r="648" ht="25" customHeight="1">
      <x:c r="A648" s="13" t="str">
        <x:v>☐</x:v>
      </x:c>
      <x:c r="B648" s="11" t="n">
        <x:v>647</x:v>
      </x:c>
      <x:c r="C648" s="15" t="e">
        <x:f>HYPERLINK("https://pokecottage.com/pokemon-master-sets/keldeo","Keldeo")</x:f>
        <x:v>HYPERLINK is not implemented. linkLocation=https://pokecottage.com/pokemon-master-sets/keldeo, friendlyName=Keldeo</x:v>
      </x:c>
      <x:c r="D648" s="7" t="str">
        <x:v>Gen 5 • Unova</x:v>
      </x:c>
      <x:c r="E648" s="7"/>
      <x:c r="F648" s="7"/>
    </x:row>
    <x:row r="649" ht="25" customHeight="1">
      <x:c r="A649" s="14" t="str">
        <x:v>☐</x:v>
      </x:c>
      <x:c r="B649" s="12" t="n">
        <x:v>648</x:v>
      </x:c>
      <x:c r="C649" s="16" t="e">
        <x:f>HYPERLINK("https://pokecottage.com/pokemon-master-sets/meloetta","Meloetta")</x:f>
        <x:v>HYPERLINK is not implemented. linkLocation=https://pokecottage.com/pokemon-master-sets/meloetta, friendlyName=Meloetta</x:v>
      </x:c>
      <x:c r="D649" s="8" t="str">
        <x:v>Gen 5 • Unova</x:v>
      </x:c>
      <x:c r="E649" s="8"/>
      <x:c r="F649" s="8"/>
    </x:row>
    <x:row r="650" ht="25" customHeight="1">
      <x:c r="A650" s="13" t="str">
        <x:v>☐</x:v>
      </x:c>
      <x:c r="B650" s="11" t="n">
        <x:v>649</x:v>
      </x:c>
      <x:c r="C650" s="15" t="e">
        <x:f>HYPERLINK("https://pokecottage.com/pokemon-master-sets/genesect","Genesect")</x:f>
        <x:v>HYPERLINK is not implemented. linkLocation=https://pokecottage.com/pokemon-master-sets/genesect, friendlyName=Genesect</x:v>
      </x:c>
      <x:c r="D650" s="7" t="str">
        <x:v>Gen 5 • Unova</x:v>
      </x:c>
      <x:c r="E650" s="7"/>
      <x:c r="F650" s="7"/>
    </x:row>
    <x:row r="651" ht="25" customHeight="1">
      <x:c r="A651" s="14" t="str">
        <x:v>☐</x:v>
      </x:c>
      <x:c r="B651" s="12" t="n">
        <x:v>650</x:v>
      </x:c>
      <x:c r="C651" s="16" t="e">
        <x:f>HYPERLINK("https://pokecottage.com/pokemon-master-sets/chespin","Chespin")</x:f>
        <x:v>HYPERLINK is not implemented. linkLocation=https://pokecottage.com/pokemon-master-sets/chespin, friendlyName=Chespin</x:v>
      </x:c>
      <x:c r="D651" s="8" t="str">
        <x:v>Gen 6 • Kalos</x:v>
      </x:c>
      <x:c r="E651" s="8"/>
      <x:c r="F651" s="8"/>
    </x:row>
    <x:row r="652" ht="25" customHeight="1">
      <x:c r="A652" s="13" t="str">
        <x:v>☐</x:v>
      </x:c>
      <x:c r="B652" s="11" t="n">
        <x:v>651</x:v>
      </x:c>
      <x:c r="C652" s="15" t="e">
        <x:f>HYPERLINK("https://pokecottage.com/pokemon-master-sets/quilladin","Quilladin")</x:f>
        <x:v>HYPERLINK is not implemented. linkLocation=https://pokecottage.com/pokemon-master-sets/quilladin, friendlyName=Quilladin</x:v>
      </x:c>
      <x:c r="D652" s="7" t="str">
        <x:v>Gen 6 • Kalos</x:v>
      </x:c>
      <x:c r="E652" s="7"/>
      <x:c r="F652" s="7"/>
    </x:row>
    <x:row r="653" ht="25" customHeight="1">
      <x:c r="A653" s="14" t="str">
        <x:v>☐</x:v>
      </x:c>
      <x:c r="B653" s="12" t="n">
        <x:v>652</x:v>
      </x:c>
      <x:c r="C653" s="16" t="e">
        <x:f>HYPERLINK("https://pokecottage.com/pokemon-master-sets/chesnaught","Chesnaught")</x:f>
        <x:v>HYPERLINK is not implemented. linkLocation=https://pokecottage.com/pokemon-master-sets/chesnaught, friendlyName=Chesnaught</x:v>
      </x:c>
      <x:c r="D653" s="8" t="str">
        <x:v>Gen 6 • Kalos</x:v>
      </x:c>
      <x:c r="E653" s="8"/>
      <x:c r="F653" s="8"/>
    </x:row>
    <x:row r="654" ht="25" customHeight="1">
      <x:c r="A654" s="13" t="str">
        <x:v>☐</x:v>
      </x:c>
      <x:c r="B654" s="11" t="n">
        <x:v>653</x:v>
      </x:c>
      <x:c r="C654" s="15" t="e">
        <x:f>HYPERLINK("https://pokecottage.com/pokemon-master-sets/fennekin","Fennekin")</x:f>
        <x:v>HYPERLINK is not implemented. linkLocation=https://pokecottage.com/pokemon-master-sets/fennekin, friendlyName=Fennekin</x:v>
      </x:c>
      <x:c r="D654" s="7" t="str">
        <x:v>Gen 6 • Kalos</x:v>
      </x:c>
      <x:c r="E654" s="7"/>
      <x:c r="F654" s="7"/>
    </x:row>
    <x:row r="655" ht="25" customHeight="1">
      <x:c r="A655" s="14" t="str">
        <x:v>☐</x:v>
      </x:c>
      <x:c r="B655" s="12" t="n">
        <x:v>654</x:v>
      </x:c>
      <x:c r="C655" s="16" t="e">
        <x:f>HYPERLINK("https://pokecottage.com/pokemon-master-sets/braixen","Braixen")</x:f>
        <x:v>HYPERLINK is not implemented. linkLocation=https://pokecottage.com/pokemon-master-sets/braixen, friendlyName=Braixen</x:v>
      </x:c>
      <x:c r="D655" s="8" t="str">
        <x:v>Gen 6 • Kalos</x:v>
      </x:c>
      <x:c r="E655" s="8"/>
      <x:c r="F655" s="8"/>
    </x:row>
    <x:row r="656" ht="25" customHeight="1">
      <x:c r="A656" s="13" t="str">
        <x:v>☐</x:v>
      </x:c>
      <x:c r="B656" s="11" t="n">
        <x:v>655</x:v>
      </x:c>
      <x:c r="C656" s="15" t="e">
        <x:f>HYPERLINK("https://pokecottage.com/pokemon-master-sets/delphox","Delphox")</x:f>
        <x:v>HYPERLINK is not implemented. linkLocation=https://pokecottage.com/pokemon-master-sets/delphox, friendlyName=Delphox</x:v>
      </x:c>
      <x:c r="D656" s="7" t="str">
        <x:v>Gen 6 • Kalos</x:v>
      </x:c>
      <x:c r="E656" s="7"/>
      <x:c r="F656" s="7"/>
    </x:row>
    <x:row r="657" ht="25" customHeight="1">
      <x:c r="A657" s="14" t="str">
        <x:v>☐</x:v>
      </x:c>
      <x:c r="B657" s="12" t="n">
        <x:v>656</x:v>
      </x:c>
      <x:c r="C657" s="16" t="e">
        <x:f>HYPERLINK("https://pokecottage.com/pokemon-master-sets/froakie","Froakie")</x:f>
        <x:v>HYPERLINK is not implemented. linkLocation=https://pokecottage.com/pokemon-master-sets/froakie, friendlyName=Froakie</x:v>
      </x:c>
      <x:c r="D657" s="8" t="str">
        <x:v>Gen 6 • Kalos</x:v>
      </x:c>
      <x:c r="E657" s="8"/>
      <x:c r="F657" s="8"/>
    </x:row>
    <x:row r="658" ht="25" customHeight="1">
      <x:c r="A658" s="13" t="str">
        <x:v>☐</x:v>
      </x:c>
      <x:c r="B658" s="11" t="n">
        <x:v>657</x:v>
      </x:c>
      <x:c r="C658" s="15" t="e">
        <x:f>HYPERLINK("https://pokecottage.com/pokemon-master-sets/frogadier","Frogadier")</x:f>
        <x:v>HYPERLINK is not implemented. linkLocation=https://pokecottage.com/pokemon-master-sets/frogadier, friendlyName=Frogadier</x:v>
      </x:c>
      <x:c r="D658" s="7" t="str">
        <x:v>Gen 6 • Kalos</x:v>
      </x:c>
      <x:c r="E658" s="7"/>
      <x:c r="F658" s="7"/>
    </x:row>
    <x:row r="659" ht="25" customHeight="1">
      <x:c r="A659" s="14" t="str">
        <x:v>☐</x:v>
      </x:c>
      <x:c r="B659" s="12" t="n">
        <x:v>658</x:v>
      </x:c>
      <x:c r="C659" s="16" t="e">
        <x:f>HYPERLINK("https://pokecottage.com/pokemon-master-sets/greninja","Greninja")</x:f>
        <x:v>HYPERLINK is not implemented. linkLocation=https://pokecottage.com/pokemon-master-sets/greninja, friendlyName=Greninja</x:v>
      </x:c>
      <x:c r="D659" s="8" t="str">
        <x:v>Gen 6 • Kalos</x:v>
      </x:c>
      <x:c r="E659" s="8"/>
      <x:c r="F659" s="8"/>
    </x:row>
    <x:row r="660" ht="25" customHeight="1">
      <x:c r="A660" s="13" t="str">
        <x:v>☐</x:v>
      </x:c>
      <x:c r="B660" s="11" t="n">
        <x:v>659</x:v>
      </x:c>
      <x:c r="C660" s="15" t="e">
        <x:f>HYPERLINK("https://pokecottage.com/pokemon-master-sets/bunnelby","Bunnelby")</x:f>
        <x:v>HYPERLINK is not implemented. linkLocation=https://pokecottage.com/pokemon-master-sets/bunnelby, friendlyName=Bunnelby</x:v>
      </x:c>
      <x:c r="D660" s="7" t="str">
        <x:v>Gen 6 • Kalos</x:v>
      </x:c>
      <x:c r="E660" s="7"/>
      <x:c r="F660" s="7"/>
    </x:row>
    <x:row r="661" ht="25" customHeight="1">
      <x:c r="A661" s="14" t="str">
        <x:v>☐</x:v>
      </x:c>
      <x:c r="B661" s="12" t="n">
        <x:v>660</x:v>
      </x:c>
      <x:c r="C661" s="16" t="e">
        <x:f>HYPERLINK("https://pokecottage.com/pokemon-master-sets/diggersby","Diggersby")</x:f>
        <x:v>HYPERLINK is not implemented. linkLocation=https://pokecottage.com/pokemon-master-sets/diggersby, friendlyName=Diggersby</x:v>
      </x:c>
      <x:c r="D661" s="8" t="str">
        <x:v>Gen 6 • Kalos</x:v>
      </x:c>
      <x:c r="E661" s="8"/>
      <x:c r="F661" s="8"/>
    </x:row>
    <x:row r="662" ht="25" customHeight="1">
      <x:c r="A662" s="13" t="str">
        <x:v>☐</x:v>
      </x:c>
      <x:c r="B662" s="11" t="n">
        <x:v>661</x:v>
      </x:c>
      <x:c r="C662" s="15" t="e">
        <x:f>HYPERLINK("https://pokecottage.com/pokemon-master-sets/fletchling","Fletchling")</x:f>
        <x:v>HYPERLINK is not implemented. linkLocation=https://pokecottage.com/pokemon-master-sets/fletchling, friendlyName=Fletchling</x:v>
      </x:c>
      <x:c r="D662" s="7" t="str">
        <x:v>Gen 6 • Kalos</x:v>
      </x:c>
      <x:c r="E662" s="7"/>
      <x:c r="F662" s="7"/>
    </x:row>
    <x:row r="663" ht="25" customHeight="1">
      <x:c r="A663" s="14" t="str">
        <x:v>☐</x:v>
      </x:c>
      <x:c r="B663" s="12" t="n">
        <x:v>662</x:v>
      </x:c>
      <x:c r="C663" s="16" t="e">
        <x:f>HYPERLINK("https://pokecottage.com/pokemon-master-sets/fletchinder","Fletchinder")</x:f>
        <x:v>HYPERLINK is not implemented. linkLocation=https://pokecottage.com/pokemon-master-sets/fletchinder, friendlyName=Fletchinder</x:v>
      </x:c>
      <x:c r="D663" s="8" t="str">
        <x:v>Gen 6 • Kalos</x:v>
      </x:c>
      <x:c r="E663" s="8"/>
      <x:c r="F663" s="8"/>
    </x:row>
    <x:row r="664" ht="25" customHeight="1">
      <x:c r="A664" s="13" t="str">
        <x:v>☐</x:v>
      </x:c>
      <x:c r="B664" s="11" t="n">
        <x:v>663</x:v>
      </x:c>
      <x:c r="C664" s="15" t="e">
        <x:f>HYPERLINK("https://pokecottage.com/pokemon-master-sets/talonflame","Talonflame")</x:f>
        <x:v>HYPERLINK is not implemented. linkLocation=https://pokecottage.com/pokemon-master-sets/talonflame, friendlyName=Talonflame</x:v>
      </x:c>
      <x:c r="D664" s="7" t="str">
        <x:v>Gen 6 • Kalos</x:v>
      </x:c>
      <x:c r="E664" s="7"/>
      <x:c r="F664" s="7"/>
    </x:row>
    <x:row r="665" ht="25" customHeight="1">
      <x:c r="A665" s="14" t="str">
        <x:v>☐</x:v>
      </x:c>
      <x:c r="B665" s="12" t="n">
        <x:v>664</x:v>
      </x:c>
      <x:c r="C665" s="16" t="e">
        <x:f>HYPERLINK("https://pokecottage.com/pokemon-master-sets/scatterbug","Scatterbug")</x:f>
        <x:v>HYPERLINK is not implemented. linkLocation=https://pokecottage.com/pokemon-master-sets/scatterbug, friendlyName=Scatterbug</x:v>
      </x:c>
      <x:c r="D665" s="8" t="str">
        <x:v>Gen 6 • Kalos</x:v>
      </x:c>
      <x:c r="E665" s="8"/>
      <x:c r="F665" s="8"/>
    </x:row>
    <x:row r="666" ht="25" customHeight="1">
      <x:c r="A666" s="13" t="str">
        <x:v>☐</x:v>
      </x:c>
      <x:c r="B666" s="11" t="n">
        <x:v>665</x:v>
      </x:c>
      <x:c r="C666" s="15" t="e">
        <x:f>HYPERLINK("https://pokecottage.com/pokemon-master-sets/spewpa","Spewpa")</x:f>
        <x:v>HYPERLINK is not implemented. linkLocation=https://pokecottage.com/pokemon-master-sets/spewpa, friendlyName=Spewpa</x:v>
      </x:c>
      <x:c r="D666" s="7" t="str">
        <x:v>Gen 6 • Kalos</x:v>
      </x:c>
      <x:c r="E666" s="7"/>
      <x:c r="F666" s="7"/>
    </x:row>
    <x:row r="667" ht="25" customHeight="1">
      <x:c r="A667" s="14" t="str">
        <x:v>☐</x:v>
      </x:c>
      <x:c r="B667" s="12" t="n">
        <x:v>666</x:v>
      </x:c>
      <x:c r="C667" s="16" t="e">
        <x:f>HYPERLINK("https://pokecottage.com/pokemon-master-sets/vivillon","Vivillon")</x:f>
        <x:v>HYPERLINK is not implemented. linkLocation=https://pokecottage.com/pokemon-master-sets/vivillon, friendlyName=Vivillon</x:v>
      </x:c>
      <x:c r="D667" s="8" t="str">
        <x:v>Gen 6 • Kalos</x:v>
      </x:c>
      <x:c r="E667" s="8"/>
      <x:c r="F667" s="8"/>
    </x:row>
    <x:row r="668" ht="25" customHeight="1">
      <x:c r="A668" s="13" t="str">
        <x:v>☐</x:v>
      </x:c>
      <x:c r="B668" s="11" t="n">
        <x:v>667</x:v>
      </x:c>
      <x:c r="C668" s="15" t="e">
        <x:f>HYPERLINK("https://pokecottage.com/pokemon-master-sets/litleo","Litleo")</x:f>
        <x:v>HYPERLINK is not implemented. linkLocation=https://pokecottage.com/pokemon-master-sets/litleo, friendlyName=Litleo</x:v>
      </x:c>
      <x:c r="D668" s="7" t="str">
        <x:v>Gen 6 • Kalos</x:v>
      </x:c>
      <x:c r="E668" s="7"/>
      <x:c r="F668" s="7"/>
    </x:row>
    <x:row r="669" ht="25" customHeight="1">
      <x:c r="A669" s="14" t="str">
        <x:v>☐</x:v>
      </x:c>
      <x:c r="B669" s="12" t="n">
        <x:v>668</x:v>
      </x:c>
      <x:c r="C669" s="16" t="e">
        <x:f>HYPERLINK("https://pokecottage.com/pokemon-master-sets/pyroar","Pyroar")</x:f>
        <x:v>HYPERLINK is not implemented. linkLocation=https://pokecottage.com/pokemon-master-sets/pyroar, friendlyName=Pyroar</x:v>
      </x:c>
      <x:c r="D669" s="8" t="str">
        <x:v>Gen 6 • Kalos</x:v>
      </x:c>
      <x:c r="E669" s="8"/>
      <x:c r="F669" s="8"/>
    </x:row>
    <x:row r="670" ht="25" customHeight="1">
      <x:c r="A670" s="13" t="str">
        <x:v>☐</x:v>
      </x:c>
      <x:c r="B670" s="11" t="n">
        <x:v>669</x:v>
      </x:c>
      <x:c r="C670" s="15" t="e">
        <x:f>HYPERLINK("https://pokecottage.com/pokemon-master-sets/flab-b","Flabébé")</x:f>
        <x:v>HYPERLINK is not implemented. linkLocation=https://pokecottage.com/pokemon-master-sets/flab-b, friendlyName=Flabébé</x:v>
      </x:c>
      <x:c r="D670" s="7" t="str">
        <x:v>Gen 6 • Kalos</x:v>
      </x:c>
      <x:c r="E670" s="7"/>
      <x:c r="F670" s="7"/>
    </x:row>
    <x:row r="671" ht="25" customHeight="1">
      <x:c r="A671" s="14" t="str">
        <x:v>☐</x:v>
      </x:c>
      <x:c r="B671" s="12" t="n">
        <x:v>670</x:v>
      </x:c>
      <x:c r="C671" s="16" t="e">
        <x:f>HYPERLINK("https://pokecottage.com/pokemon-master-sets/floette","Floette")</x:f>
        <x:v>HYPERLINK is not implemented. linkLocation=https://pokecottage.com/pokemon-master-sets/floette, friendlyName=Floette</x:v>
      </x:c>
      <x:c r="D671" s="8" t="str">
        <x:v>Gen 6 • Kalos</x:v>
      </x:c>
      <x:c r="E671" s="8"/>
      <x:c r="F671" s="8"/>
    </x:row>
    <x:row r="672" ht="25" customHeight="1">
      <x:c r="A672" s="13" t="str">
        <x:v>☐</x:v>
      </x:c>
      <x:c r="B672" s="11" t="n">
        <x:v>671</x:v>
      </x:c>
      <x:c r="C672" s="15" t="e">
        <x:f>HYPERLINK("https://pokecottage.com/pokemon-master-sets/florges","Florges")</x:f>
        <x:v>HYPERLINK is not implemented. linkLocation=https://pokecottage.com/pokemon-master-sets/florges, friendlyName=Florges</x:v>
      </x:c>
      <x:c r="D672" s="7" t="str">
        <x:v>Gen 6 • Kalos</x:v>
      </x:c>
      <x:c r="E672" s="7"/>
      <x:c r="F672" s="7"/>
    </x:row>
    <x:row r="673" ht="25" customHeight="1">
      <x:c r="A673" s="14" t="str">
        <x:v>☐</x:v>
      </x:c>
      <x:c r="B673" s="12" t="n">
        <x:v>672</x:v>
      </x:c>
      <x:c r="C673" s="16" t="e">
        <x:f>HYPERLINK("https://pokecottage.com/pokemon-master-sets/skiddo","Skiddo")</x:f>
        <x:v>HYPERLINK is not implemented. linkLocation=https://pokecottage.com/pokemon-master-sets/skiddo, friendlyName=Skiddo</x:v>
      </x:c>
      <x:c r="D673" s="8" t="str">
        <x:v>Gen 6 • Kalos</x:v>
      </x:c>
      <x:c r="E673" s="8"/>
      <x:c r="F673" s="8"/>
    </x:row>
    <x:row r="674" ht="25" customHeight="1">
      <x:c r="A674" s="13" t="str">
        <x:v>☐</x:v>
      </x:c>
      <x:c r="B674" s="11" t="n">
        <x:v>673</x:v>
      </x:c>
      <x:c r="C674" s="15" t="e">
        <x:f>HYPERLINK("https://pokecottage.com/pokemon-master-sets/gogoat","Gogoat")</x:f>
        <x:v>HYPERLINK is not implemented. linkLocation=https://pokecottage.com/pokemon-master-sets/gogoat, friendlyName=Gogoat</x:v>
      </x:c>
      <x:c r="D674" s="7" t="str">
        <x:v>Gen 6 • Kalos</x:v>
      </x:c>
      <x:c r="E674" s="7"/>
      <x:c r="F674" s="7"/>
    </x:row>
    <x:row r="675" ht="25" customHeight="1">
      <x:c r="A675" s="14" t="str">
        <x:v>☐</x:v>
      </x:c>
      <x:c r="B675" s="12" t="n">
        <x:v>674</x:v>
      </x:c>
      <x:c r="C675" s="16" t="e">
        <x:f>HYPERLINK("https://pokecottage.com/pokemon-master-sets/pancham","Pancham")</x:f>
        <x:v>HYPERLINK is not implemented. linkLocation=https://pokecottage.com/pokemon-master-sets/pancham, friendlyName=Pancham</x:v>
      </x:c>
      <x:c r="D675" s="8" t="str">
        <x:v>Gen 6 • Kalos</x:v>
      </x:c>
      <x:c r="E675" s="8"/>
      <x:c r="F675" s="8"/>
    </x:row>
    <x:row r="676" ht="25" customHeight="1">
      <x:c r="A676" s="13" t="str">
        <x:v>☐</x:v>
      </x:c>
      <x:c r="B676" s="11" t="n">
        <x:v>675</x:v>
      </x:c>
      <x:c r="C676" s="15" t="e">
        <x:f>HYPERLINK("https://pokecottage.com/pokemon-master-sets/pangoro","Pangoro")</x:f>
        <x:v>HYPERLINK is not implemented. linkLocation=https://pokecottage.com/pokemon-master-sets/pangoro, friendlyName=Pangoro</x:v>
      </x:c>
      <x:c r="D676" s="7" t="str">
        <x:v>Gen 6 • Kalos</x:v>
      </x:c>
      <x:c r="E676" s="7"/>
      <x:c r="F676" s="7"/>
    </x:row>
    <x:row r="677" ht="25" customHeight="1">
      <x:c r="A677" s="14" t="str">
        <x:v>☐</x:v>
      </x:c>
      <x:c r="B677" s="12" t="n">
        <x:v>676</x:v>
      </x:c>
      <x:c r="C677" s="16" t="e">
        <x:f>HYPERLINK("https://pokecottage.com/pokemon-master-sets/furfrou","Furfrou")</x:f>
        <x:v>HYPERLINK is not implemented. linkLocation=https://pokecottage.com/pokemon-master-sets/furfrou, friendlyName=Furfrou</x:v>
      </x:c>
      <x:c r="D677" s="8" t="str">
        <x:v>Gen 6 • Kalos</x:v>
      </x:c>
      <x:c r="E677" s="8"/>
      <x:c r="F677" s="8"/>
    </x:row>
    <x:row r="678" ht="25" customHeight="1">
      <x:c r="A678" s="13" t="str">
        <x:v>☐</x:v>
      </x:c>
      <x:c r="B678" s="11" t="n">
        <x:v>677</x:v>
      </x:c>
      <x:c r="C678" s="15" t="e">
        <x:f>HYPERLINK("https://pokecottage.com/pokemon-master-sets/espurr","Espurr")</x:f>
        <x:v>HYPERLINK is not implemented. linkLocation=https://pokecottage.com/pokemon-master-sets/espurr, friendlyName=Espurr</x:v>
      </x:c>
      <x:c r="D678" s="7" t="str">
        <x:v>Gen 6 • Kalos</x:v>
      </x:c>
      <x:c r="E678" s="7"/>
      <x:c r="F678" s="7"/>
    </x:row>
    <x:row r="679" ht="25" customHeight="1">
      <x:c r="A679" s="14" t="str">
        <x:v>☐</x:v>
      </x:c>
      <x:c r="B679" s="12" t="n">
        <x:v>678</x:v>
      </x:c>
      <x:c r="C679" s="16" t="e">
        <x:f>HYPERLINK("https://pokecottage.com/pokemon-master-sets/meowstic","Meowstic")</x:f>
        <x:v>HYPERLINK is not implemented. linkLocation=https://pokecottage.com/pokemon-master-sets/meowstic, friendlyName=Meowstic</x:v>
      </x:c>
      <x:c r="D679" s="8" t="str">
        <x:v>Gen 6 • Kalos</x:v>
      </x:c>
      <x:c r="E679" s="8"/>
      <x:c r="F679" s="8"/>
    </x:row>
    <x:row r="680" ht="25" customHeight="1">
      <x:c r="A680" s="13" t="str">
        <x:v>☐</x:v>
      </x:c>
      <x:c r="B680" s="11" t="n">
        <x:v>679</x:v>
      </x:c>
      <x:c r="C680" s="15" t="e">
        <x:f>HYPERLINK("https://pokecottage.com/pokemon-master-sets/honedge","Honedge")</x:f>
        <x:v>HYPERLINK is not implemented. linkLocation=https://pokecottage.com/pokemon-master-sets/honedge, friendlyName=Honedge</x:v>
      </x:c>
      <x:c r="D680" s="7" t="str">
        <x:v>Gen 6 • Kalos</x:v>
      </x:c>
      <x:c r="E680" s="7"/>
      <x:c r="F680" s="7"/>
    </x:row>
    <x:row r="681" ht="25" customHeight="1">
      <x:c r="A681" s="14" t="str">
        <x:v>☐</x:v>
      </x:c>
      <x:c r="B681" s="12" t="n">
        <x:v>680</x:v>
      </x:c>
      <x:c r="C681" s="16" t="e">
        <x:f>HYPERLINK("https://pokecottage.com/pokemon-master-sets/doublade","Doublade")</x:f>
        <x:v>HYPERLINK is not implemented. linkLocation=https://pokecottage.com/pokemon-master-sets/doublade, friendlyName=Doublade</x:v>
      </x:c>
      <x:c r="D681" s="8" t="str">
        <x:v>Gen 6 • Kalos</x:v>
      </x:c>
      <x:c r="E681" s="8"/>
      <x:c r="F681" s="8"/>
    </x:row>
    <x:row r="682" ht="25" customHeight="1">
      <x:c r="A682" s="13" t="str">
        <x:v>☐</x:v>
      </x:c>
      <x:c r="B682" s="11" t="n">
        <x:v>681</x:v>
      </x:c>
      <x:c r="C682" s="15" t="e">
        <x:f>HYPERLINK("https://pokecottage.com/pokemon-master-sets/aegislash","Aegislash")</x:f>
        <x:v>HYPERLINK is not implemented. linkLocation=https://pokecottage.com/pokemon-master-sets/aegislash, friendlyName=Aegislash</x:v>
      </x:c>
      <x:c r="D682" s="7" t="str">
        <x:v>Gen 6 • Kalos</x:v>
      </x:c>
      <x:c r="E682" s="7"/>
      <x:c r="F682" s="7"/>
    </x:row>
    <x:row r="683" ht="25" customHeight="1">
      <x:c r="A683" s="14" t="str">
        <x:v>☐</x:v>
      </x:c>
      <x:c r="B683" s="12" t="n">
        <x:v>682</x:v>
      </x:c>
      <x:c r="C683" s="16" t="e">
        <x:f>HYPERLINK("https://pokecottage.com/pokemon-master-sets/spritzee","Spritzee")</x:f>
        <x:v>HYPERLINK is not implemented. linkLocation=https://pokecottage.com/pokemon-master-sets/spritzee, friendlyName=Spritzee</x:v>
      </x:c>
      <x:c r="D683" s="8" t="str">
        <x:v>Gen 6 • Kalos</x:v>
      </x:c>
      <x:c r="E683" s="8"/>
      <x:c r="F683" s="8"/>
    </x:row>
    <x:row r="684" ht="25" customHeight="1">
      <x:c r="A684" s="13" t="str">
        <x:v>☐</x:v>
      </x:c>
      <x:c r="B684" s="11" t="n">
        <x:v>683</x:v>
      </x:c>
      <x:c r="C684" s="15" t="e">
        <x:f>HYPERLINK("https://pokecottage.com/pokemon-master-sets/aromatisse","Aromatisse")</x:f>
        <x:v>HYPERLINK is not implemented. linkLocation=https://pokecottage.com/pokemon-master-sets/aromatisse, friendlyName=Aromatisse</x:v>
      </x:c>
      <x:c r="D684" s="7" t="str">
        <x:v>Gen 6 • Kalos</x:v>
      </x:c>
      <x:c r="E684" s="7"/>
      <x:c r="F684" s="7"/>
    </x:row>
    <x:row r="685" ht="25" customHeight="1">
      <x:c r="A685" s="14" t="str">
        <x:v>☐</x:v>
      </x:c>
      <x:c r="B685" s="12" t="n">
        <x:v>684</x:v>
      </x:c>
      <x:c r="C685" s="16" t="e">
        <x:f>HYPERLINK("https://pokecottage.com/pokemon-master-sets/swirlix","Swirlix")</x:f>
        <x:v>HYPERLINK is not implemented. linkLocation=https://pokecottage.com/pokemon-master-sets/swirlix, friendlyName=Swirlix</x:v>
      </x:c>
      <x:c r="D685" s="8" t="str">
        <x:v>Gen 6 • Kalos</x:v>
      </x:c>
      <x:c r="E685" s="8"/>
      <x:c r="F685" s="8"/>
    </x:row>
    <x:row r="686" ht="25" customHeight="1">
      <x:c r="A686" s="13" t="str">
        <x:v>☐</x:v>
      </x:c>
      <x:c r="B686" s="11" t="n">
        <x:v>685</x:v>
      </x:c>
      <x:c r="C686" s="15" t="e">
        <x:f>HYPERLINK("https://pokecottage.com/pokemon-master-sets/slurpuff","Slurpuff")</x:f>
        <x:v>HYPERLINK is not implemented. linkLocation=https://pokecottage.com/pokemon-master-sets/slurpuff, friendlyName=Slurpuff</x:v>
      </x:c>
      <x:c r="D686" s="7" t="str">
        <x:v>Gen 6 • Kalos</x:v>
      </x:c>
      <x:c r="E686" s="7"/>
      <x:c r="F686" s="7"/>
    </x:row>
    <x:row r="687" ht="25" customHeight="1">
      <x:c r="A687" s="14" t="str">
        <x:v>☐</x:v>
      </x:c>
      <x:c r="B687" s="12" t="n">
        <x:v>686</x:v>
      </x:c>
      <x:c r="C687" s="16" t="e">
        <x:f>HYPERLINK("https://pokecottage.com/pokemon-master-sets/inkay","Inkay")</x:f>
        <x:v>HYPERLINK is not implemented. linkLocation=https://pokecottage.com/pokemon-master-sets/inkay, friendlyName=Inkay</x:v>
      </x:c>
      <x:c r="D687" s="8" t="str">
        <x:v>Gen 6 • Kalos</x:v>
      </x:c>
      <x:c r="E687" s="8"/>
      <x:c r="F687" s="8"/>
    </x:row>
    <x:row r="688" ht="25" customHeight="1">
      <x:c r="A688" s="13" t="str">
        <x:v>☐</x:v>
      </x:c>
      <x:c r="B688" s="11" t="n">
        <x:v>687</x:v>
      </x:c>
      <x:c r="C688" s="15" t="e">
        <x:f>HYPERLINK("https://pokecottage.com/pokemon-master-sets/malamar","Malamar")</x:f>
        <x:v>HYPERLINK is not implemented. linkLocation=https://pokecottage.com/pokemon-master-sets/malamar, friendlyName=Malamar</x:v>
      </x:c>
      <x:c r="D688" s="7" t="str">
        <x:v>Gen 6 • Kalos</x:v>
      </x:c>
      <x:c r="E688" s="7"/>
      <x:c r="F688" s="7"/>
    </x:row>
    <x:row r="689" ht="25" customHeight="1">
      <x:c r="A689" s="14" t="str">
        <x:v>☐</x:v>
      </x:c>
      <x:c r="B689" s="12" t="n">
        <x:v>688</x:v>
      </x:c>
      <x:c r="C689" s="16" t="e">
        <x:f>HYPERLINK("https://pokecottage.com/pokemon-master-sets/binacle","Binacle")</x:f>
        <x:v>HYPERLINK is not implemented. linkLocation=https://pokecottage.com/pokemon-master-sets/binacle, friendlyName=Binacle</x:v>
      </x:c>
      <x:c r="D689" s="8" t="str">
        <x:v>Gen 6 • Kalos</x:v>
      </x:c>
      <x:c r="E689" s="8"/>
      <x:c r="F689" s="8"/>
    </x:row>
    <x:row r="690" ht="25" customHeight="1">
      <x:c r="A690" s="13" t="str">
        <x:v>☐</x:v>
      </x:c>
      <x:c r="B690" s="11" t="n">
        <x:v>689</x:v>
      </x:c>
      <x:c r="C690" s="15" t="e">
        <x:f>HYPERLINK("https://pokecottage.com/pokemon-master-sets/barbaracle","Barbaracle")</x:f>
        <x:v>HYPERLINK is not implemented. linkLocation=https://pokecottage.com/pokemon-master-sets/barbaracle, friendlyName=Barbaracle</x:v>
      </x:c>
      <x:c r="D690" s="7" t="str">
        <x:v>Gen 6 • Kalos</x:v>
      </x:c>
      <x:c r="E690" s="7"/>
      <x:c r="F690" s="7"/>
    </x:row>
    <x:row r="691" ht="25" customHeight="1">
      <x:c r="A691" s="14" t="str">
        <x:v>☐</x:v>
      </x:c>
      <x:c r="B691" s="12" t="n">
        <x:v>690</x:v>
      </x:c>
      <x:c r="C691" s="16" t="e">
        <x:f>HYPERLINK("https://pokecottage.com/pokemon-master-sets/skrelp","Skrelp")</x:f>
        <x:v>HYPERLINK is not implemented. linkLocation=https://pokecottage.com/pokemon-master-sets/skrelp, friendlyName=Skrelp</x:v>
      </x:c>
      <x:c r="D691" s="8" t="str">
        <x:v>Gen 6 • Kalos</x:v>
      </x:c>
      <x:c r="E691" s="8"/>
      <x:c r="F691" s="8"/>
    </x:row>
    <x:row r="692" ht="25" customHeight="1">
      <x:c r="A692" s="13" t="str">
        <x:v>☐</x:v>
      </x:c>
      <x:c r="B692" s="11" t="n">
        <x:v>691</x:v>
      </x:c>
      <x:c r="C692" s="15" t="e">
        <x:f>HYPERLINK("https://pokecottage.com/pokemon-master-sets/dragalge","Dragalge")</x:f>
        <x:v>HYPERLINK is not implemented. linkLocation=https://pokecottage.com/pokemon-master-sets/dragalge, friendlyName=Dragalge</x:v>
      </x:c>
      <x:c r="D692" s="7" t="str">
        <x:v>Gen 6 • Kalos</x:v>
      </x:c>
      <x:c r="E692" s="7"/>
      <x:c r="F692" s="7"/>
    </x:row>
    <x:row r="693" ht="25" customHeight="1">
      <x:c r="A693" s="14" t="str">
        <x:v>☐</x:v>
      </x:c>
      <x:c r="B693" s="12" t="n">
        <x:v>692</x:v>
      </x:c>
      <x:c r="C693" s="16" t="e">
        <x:f>HYPERLINK("https://pokecottage.com/pokemon-master-sets/clauncher","Clauncher")</x:f>
        <x:v>HYPERLINK is not implemented. linkLocation=https://pokecottage.com/pokemon-master-sets/clauncher, friendlyName=Clauncher</x:v>
      </x:c>
      <x:c r="D693" s="8" t="str">
        <x:v>Gen 6 • Kalos</x:v>
      </x:c>
      <x:c r="E693" s="8"/>
      <x:c r="F693" s="8"/>
    </x:row>
    <x:row r="694" ht="25" customHeight="1">
      <x:c r="A694" s="13" t="str">
        <x:v>☐</x:v>
      </x:c>
      <x:c r="B694" s="11" t="n">
        <x:v>693</x:v>
      </x:c>
      <x:c r="C694" s="15" t="e">
        <x:f>HYPERLINK("https://pokecottage.com/pokemon-master-sets/clawitzer","Clawitzer")</x:f>
        <x:v>HYPERLINK is not implemented. linkLocation=https://pokecottage.com/pokemon-master-sets/clawitzer, friendlyName=Clawitzer</x:v>
      </x:c>
      <x:c r="D694" s="7" t="str">
        <x:v>Gen 6 • Kalos</x:v>
      </x:c>
      <x:c r="E694" s="7"/>
      <x:c r="F694" s="7"/>
    </x:row>
    <x:row r="695" ht="25" customHeight="1">
      <x:c r="A695" s="14" t="str">
        <x:v>☐</x:v>
      </x:c>
      <x:c r="B695" s="12" t="n">
        <x:v>694</x:v>
      </x:c>
      <x:c r="C695" s="16" t="e">
        <x:f>HYPERLINK("https://pokecottage.com/pokemon-master-sets/helioptile","Helioptile")</x:f>
        <x:v>HYPERLINK is not implemented. linkLocation=https://pokecottage.com/pokemon-master-sets/helioptile, friendlyName=Helioptile</x:v>
      </x:c>
      <x:c r="D695" s="8" t="str">
        <x:v>Gen 6 • Kalos</x:v>
      </x:c>
      <x:c r="E695" s="8"/>
      <x:c r="F695" s="8"/>
    </x:row>
    <x:row r="696" ht="25" customHeight="1">
      <x:c r="A696" s="13" t="str">
        <x:v>☐</x:v>
      </x:c>
      <x:c r="B696" s="11" t="n">
        <x:v>695</x:v>
      </x:c>
      <x:c r="C696" s="15" t="e">
        <x:f>HYPERLINK("https://pokecottage.com/pokemon-master-sets/heliolisk","Heliolisk")</x:f>
        <x:v>HYPERLINK is not implemented. linkLocation=https://pokecottage.com/pokemon-master-sets/heliolisk, friendlyName=Heliolisk</x:v>
      </x:c>
      <x:c r="D696" s="7" t="str">
        <x:v>Gen 6 • Kalos</x:v>
      </x:c>
      <x:c r="E696" s="7"/>
      <x:c r="F696" s="7"/>
    </x:row>
    <x:row r="697" ht="25" customHeight="1">
      <x:c r="A697" s="14" t="str">
        <x:v>☐</x:v>
      </x:c>
      <x:c r="B697" s="12" t="n">
        <x:v>696</x:v>
      </x:c>
      <x:c r="C697" s="16" t="e">
        <x:f>HYPERLINK("https://pokecottage.com/pokemon-master-sets/tyrunt","Tyrunt")</x:f>
        <x:v>HYPERLINK is not implemented. linkLocation=https://pokecottage.com/pokemon-master-sets/tyrunt, friendlyName=Tyrunt</x:v>
      </x:c>
      <x:c r="D697" s="8" t="str">
        <x:v>Gen 6 • Kalos</x:v>
      </x:c>
      <x:c r="E697" s="8"/>
      <x:c r="F697" s="8"/>
    </x:row>
    <x:row r="698" ht="25" customHeight="1">
      <x:c r="A698" s="13" t="str">
        <x:v>☐</x:v>
      </x:c>
      <x:c r="B698" s="11" t="n">
        <x:v>697</x:v>
      </x:c>
      <x:c r="C698" s="15" t="e">
        <x:f>HYPERLINK("https://pokecottage.com/pokemon-master-sets/tyrantrum","Tyrantrum")</x:f>
        <x:v>HYPERLINK is not implemented. linkLocation=https://pokecottage.com/pokemon-master-sets/tyrantrum, friendlyName=Tyrantrum</x:v>
      </x:c>
      <x:c r="D698" s="7" t="str">
        <x:v>Gen 6 • Kalos</x:v>
      </x:c>
      <x:c r="E698" s="7"/>
      <x:c r="F698" s="7"/>
    </x:row>
    <x:row r="699" ht="25" customHeight="1">
      <x:c r="A699" s="14" t="str">
        <x:v>☐</x:v>
      </x:c>
      <x:c r="B699" s="12" t="n">
        <x:v>698</x:v>
      </x:c>
      <x:c r="C699" s="16" t="e">
        <x:f>HYPERLINK("https://pokecottage.com/pokemon-master-sets/amaura","Amaura")</x:f>
        <x:v>HYPERLINK is not implemented. linkLocation=https://pokecottage.com/pokemon-master-sets/amaura, friendlyName=Amaura</x:v>
      </x:c>
      <x:c r="D699" s="8" t="str">
        <x:v>Gen 6 • Kalos</x:v>
      </x:c>
      <x:c r="E699" s="8"/>
      <x:c r="F699" s="8"/>
    </x:row>
    <x:row r="700" ht="25" customHeight="1">
      <x:c r="A700" s="13" t="str">
        <x:v>☐</x:v>
      </x:c>
      <x:c r="B700" s="11" t="n">
        <x:v>699</x:v>
      </x:c>
      <x:c r="C700" s="15" t="e">
        <x:f>HYPERLINK("https://pokecottage.com/pokemon-master-sets/aurorus","Aurorus")</x:f>
        <x:v>HYPERLINK is not implemented. linkLocation=https://pokecottage.com/pokemon-master-sets/aurorus, friendlyName=Aurorus</x:v>
      </x:c>
      <x:c r="D700" s="7" t="str">
        <x:v>Gen 6 • Kalos</x:v>
      </x:c>
      <x:c r="E700" s="7"/>
      <x:c r="F700" s="7"/>
    </x:row>
    <x:row r="701" ht="25" customHeight="1">
      <x:c r="A701" s="14" t="str">
        <x:v>☐</x:v>
      </x:c>
      <x:c r="B701" s="12" t="n">
        <x:v>700</x:v>
      </x:c>
      <x:c r="C701" s="16" t="e">
        <x:f>HYPERLINK("https://pokecottage.com/pokemon-master-sets/sylveon","Sylveon")</x:f>
        <x:v>HYPERLINK is not implemented. linkLocation=https://pokecottage.com/pokemon-master-sets/sylveon, friendlyName=Sylveon</x:v>
      </x:c>
      <x:c r="D701" s="8" t="str">
        <x:v>Gen 6 • Kalos</x:v>
      </x:c>
      <x:c r="E701" s="8"/>
      <x:c r="F701" s="8"/>
    </x:row>
    <x:row r="702" ht="25" customHeight="1">
      <x:c r="A702" s="13" t="str">
        <x:v>☐</x:v>
      </x:c>
      <x:c r="B702" s="11" t="n">
        <x:v>701</x:v>
      </x:c>
      <x:c r="C702" s="15" t="e">
        <x:f>HYPERLINK("https://pokecottage.com/pokemon-master-sets/hawlucha","Hawlucha")</x:f>
        <x:v>HYPERLINK is not implemented. linkLocation=https://pokecottage.com/pokemon-master-sets/hawlucha, friendlyName=Hawlucha</x:v>
      </x:c>
      <x:c r="D702" s="7" t="str">
        <x:v>Gen 6 • Kalos</x:v>
      </x:c>
      <x:c r="E702" s="7"/>
      <x:c r="F702" s="7"/>
    </x:row>
    <x:row r="703" ht="25" customHeight="1">
      <x:c r="A703" s="14" t="str">
        <x:v>☐</x:v>
      </x:c>
      <x:c r="B703" s="12" t="n">
        <x:v>702</x:v>
      </x:c>
      <x:c r="C703" s="16" t="e">
        <x:f>HYPERLINK("https://pokecottage.com/pokemon-master-sets/dedenne","Dedenne")</x:f>
        <x:v>HYPERLINK is not implemented. linkLocation=https://pokecottage.com/pokemon-master-sets/dedenne, friendlyName=Dedenne</x:v>
      </x:c>
      <x:c r="D703" s="8" t="str">
        <x:v>Gen 6 • Kalos</x:v>
      </x:c>
      <x:c r="E703" s="8"/>
      <x:c r="F703" s="8"/>
    </x:row>
    <x:row r="704" ht="25" customHeight="1">
      <x:c r="A704" s="13" t="str">
        <x:v>☐</x:v>
      </x:c>
      <x:c r="B704" s="11" t="n">
        <x:v>703</x:v>
      </x:c>
      <x:c r="C704" s="15" t="e">
        <x:f>HYPERLINK("https://pokecottage.com/pokemon-master-sets/carbink","Carbink")</x:f>
        <x:v>HYPERLINK is not implemented. linkLocation=https://pokecottage.com/pokemon-master-sets/carbink, friendlyName=Carbink</x:v>
      </x:c>
      <x:c r="D704" s="7" t="str">
        <x:v>Gen 6 • Kalos</x:v>
      </x:c>
      <x:c r="E704" s="7"/>
      <x:c r="F704" s="7"/>
    </x:row>
    <x:row r="705" ht="25" customHeight="1">
      <x:c r="A705" s="14" t="str">
        <x:v>☐</x:v>
      </x:c>
      <x:c r="B705" s="12" t="n">
        <x:v>704</x:v>
      </x:c>
      <x:c r="C705" s="16" t="e">
        <x:f>HYPERLINK("https://pokecottage.com/pokemon-master-sets/goomy","Goomy")</x:f>
        <x:v>HYPERLINK is not implemented. linkLocation=https://pokecottage.com/pokemon-master-sets/goomy, friendlyName=Goomy</x:v>
      </x:c>
      <x:c r="D705" s="8" t="str">
        <x:v>Gen 6 • Kalos</x:v>
      </x:c>
      <x:c r="E705" s="8"/>
      <x:c r="F705" s="8"/>
    </x:row>
    <x:row r="706" ht="25" customHeight="1">
      <x:c r="A706" s="13" t="str">
        <x:v>☐</x:v>
      </x:c>
      <x:c r="B706" s="11" t="n">
        <x:v>705</x:v>
      </x:c>
      <x:c r="C706" s="15" t="e">
        <x:f>HYPERLINK("https://pokecottage.com/pokemon-master-sets/sliggoo","Sliggoo")</x:f>
        <x:v>HYPERLINK is not implemented. linkLocation=https://pokecottage.com/pokemon-master-sets/sliggoo, friendlyName=Sliggoo</x:v>
      </x:c>
      <x:c r="D706" s="7" t="str">
        <x:v>Gen 6 • Kalos</x:v>
      </x:c>
      <x:c r="E706" s="7"/>
      <x:c r="F706" s="7"/>
    </x:row>
    <x:row r="707" ht="25" customHeight="1">
      <x:c r="A707" s="14" t="str">
        <x:v>☐</x:v>
      </x:c>
      <x:c r="B707" s="12" t="n">
        <x:v>706</x:v>
      </x:c>
      <x:c r="C707" s="16" t="e">
        <x:f>HYPERLINK("https://pokecottage.com/pokemon-master-sets/goodra","Goodra")</x:f>
        <x:v>HYPERLINK is not implemented. linkLocation=https://pokecottage.com/pokemon-master-sets/goodra, friendlyName=Goodra</x:v>
      </x:c>
      <x:c r="D707" s="8" t="str">
        <x:v>Gen 6 • Kalos</x:v>
      </x:c>
      <x:c r="E707" s="8"/>
      <x:c r="F707" s="8"/>
    </x:row>
    <x:row r="708" ht="25" customHeight="1">
      <x:c r="A708" s="13" t="str">
        <x:v>☐</x:v>
      </x:c>
      <x:c r="B708" s="11" t="n">
        <x:v>707</x:v>
      </x:c>
      <x:c r="C708" s="15" t="e">
        <x:f>HYPERLINK("https://pokecottage.com/pokemon-master-sets/klefki","Klefki")</x:f>
        <x:v>HYPERLINK is not implemented. linkLocation=https://pokecottage.com/pokemon-master-sets/klefki, friendlyName=Klefki</x:v>
      </x:c>
      <x:c r="D708" s="7" t="str">
        <x:v>Gen 6 • Kalos</x:v>
      </x:c>
      <x:c r="E708" s="7"/>
      <x:c r="F708" s="7"/>
    </x:row>
    <x:row r="709" ht="25" customHeight="1">
      <x:c r="A709" s="14" t="str">
        <x:v>☐</x:v>
      </x:c>
      <x:c r="B709" s="12" t="n">
        <x:v>708</x:v>
      </x:c>
      <x:c r="C709" s="16" t="e">
        <x:f>HYPERLINK("https://pokecottage.com/pokemon-master-sets/phantump","Phantump")</x:f>
        <x:v>HYPERLINK is not implemented. linkLocation=https://pokecottage.com/pokemon-master-sets/phantump, friendlyName=Phantump</x:v>
      </x:c>
      <x:c r="D709" s="8" t="str">
        <x:v>Gen 6 • Kalos</x:v>
      </x:c>
      <x:c r="E709" s="8"/>
      <x:c r="F709" s="8"/>
    </x:row>
    <x:row r="710" ht="25" customHeight="1">
      <x:c r="A710" s="13" t="str">
        <x:v>☐</x:v>
      </x:c>
      <x:c r="B710" s="11" t="n">
        <x:v>709</x:v>
      </x:c>
      <x:c r="C710" s="15" t="e">
        <x:f>HYPERLINK("https://pokecottage.com/pokemon-master-sets/trevenant","Trevenant")</x:f>
        <x:v>HYPERLINK is not implemented. linkLocation=https://pokecottage.com/pokemon-master-sets/trevenant, friendlyName=Trevenant</x:v>
      </x:c>
      <x:c r="D710" s="7" t="str">
        <x:v>Gen 6 • Kalos</x:v>
      </x:c>
      <x:c r="E710" s="7"/>
      <x:c r="F710" s="7"/>
    </x:row>
    <x:row r="711" ht="25" customHeight="1">
      <x:c r="A711" s="14" t="str">
        <x:v>☐</x:v>
      </x:c>
      <x:c r="B711" s="12" t="n">
        <x:v>710</x:v>
      </x:c>
      <x:c r="C711" s="16" t="e">
        <x:f>HYPERLINK("https://pokecottage.com/pokemon-master-sets/pumpkaboo","Pumpkaboo")</x:f>
        <x:v>HYPERLINK is not implemented. linkLocation=https://pokecottage.com/pokemon-master-sets/pumpkaboo, friendlyName=Pumpkaboo</x:v>
      </x:c>
      <x:c r="D711" s="8" t="str">
        <x:v>Gen 6 • Kalos</x:v>
      </x:c>
      <x:c r="E711" s="8"/>
      <x:c r="F711" s="8"/>
    </x:row>
    <x:row r="712" ht="25" customHeight="1">
      <x:c r="A712" s="13" t="str">
        <x:v>☐</x:v>
      </x:c>
      <x:c r="B712" s="11" t="n">
        <x:v>711</x:v>
      </x:c>
      <x:c r="C712" s="15" t="e">
        <x:f>HYPERLINK("https://pokecottage.com/pokemon-master-sets/gourgeist","Gourgeist")</x:f>
        <x:v>HYPERLINK is not implemented. linkLocation=https://pokecottage.com/pokemon-master-sets/gourgeist, friendlyName=Gourgeist</x:v>
      </x:c>
      <x:c r="D712" s="7" t="str">
        <x:v>Gen 6 • Kalos</x:v>
      </x:c>
      <x:c r="E712" s="7"/>
      <x:c r="F712" s="7"/>
    </x:row>
    <x:row r="713" ht="25" customHeight="1">
      <x:c r="A713" s="14" t="str">
        <x:v>☐</x:v>
      </x:c>
      <x:c r="B713" s="12" t="n">
        <x:v>712</x:v>
      </x:c>
      <x:c r="C713" s="16" t="e">
        <x:f>HYPERLINK("https://pokecottage.com/pokemon-master-sets/bergmite","Bergmite")</x:f>
        <x:v>HYPERLINK is not implemented. linkLocation=https://pokecottage.com/pokemon-master-sets/bergmite, friendlyName=Bergmite</x:v>
      </x:c>
      <x:c r="D713" s="8" t="str">
        <x:v>Gen 6 • Kalos</x:v>
      </x:c>
      <x:c r="E713" s="8"/>
      <x:c r="F713" s="8"/>
    </x:row>
    <x:row r="714" ht="25" customHeight="1">
      <x:c r="A714" s="13" t="str">
        <x:v>☐</x:v>
      </x:c>
      <x:c r="B714" s="11" t="n">
        <x:v>713</x:v>
      </x:c>
      <x:c r="C714" s="15" t="e">
        <x:f>HYPERLINK("https://pokecottage.com/pokemon-master-sets/avalugg","Avalugg")</x:f>
        <x:v>HYPERLINK is not implemented. linkLocation=https://pokecottage.com/pokemon-master-sets/avalugg, friendlyName=Avalugg</x:v>
      </x:c>
      <x:c r="D714" s="7" t="str">
        <x:v>Gen 6 • Kalos</x:v>
      </x:c>
      <x:c r="E714" s="7"/>
      <x:c r="F714" s="7"/>
    </x:row>
    <x:row r="715" ht="25" customHeight="1">
      <x:c r="A715" s="14" t="str">
        <x:v>☐</x:v>
      </x:c>
      <x:c r="B715" s="12" t="n">
        <x:v>714</x:v>
      </x:c>
      <x:c r="C715" s="16" t="e">
        <x:f>HYPERLINK("https://pokecottage.com/pokemon-master-sets/noibat","Noibat")</x:f>
        <x:v>HYPERLINK is not implemented. linkLocation=https://pokecottage.com/pokemon-master-sets/noibat, friendlyName=Noibat</x:v>
      </x:c>
      <x:c r="D715" s="8" t="str">
        <x:v>Gen 6 • Kalos</x:v>
      </x:c>
      <x:c r="E715" s="8"/>
      <x:c r="F715" s="8"/>
    </x:row>
    <x:row r="716" ht="25" customHeight="1">
      <x:c r="A716" s="13" t="str">
        <x:v>☐</x:v>
      </x:c>
      <x:c r="B716" s="11" t="n">
        <x:v>715</x:v>
      </x:c>
      <x:c r="C716" s="15" t="e">
        <x:f>HYPERLINK("https://pokecottage.com/pokemon-master-sets/noivern","Noivern")</x:f>
        <x:v>HYPERLINK is not implemented. linkLocation=https://pokecottage.com/pokemon-master-sets/noivern, friendlyName=Noivern</x:v>
      </x:c>
      <x:c r="D716" s="7" t="str">
        <x:v>Gen 6 • Kalos</x:v>
      </x:c>
      <x:c r="E716" s="7"/>
      <x:c r="F716" s="7"/>
    </x:row>
    <x:row r="717" ht="25" customHeight="1">
      <x:c r="A717" s="14" t="str">
        <x:v>☐</x:v>
      </x:c>
      <x:c r="B717" s="12" t="n">
        <x:v>716</x:v>
      </x:c>
      <x:c r="C717" s="16" t="e">
        <x:f>HYPERLINK("https://pokecottage.com/pokemon-master-sets/xerneas","Xerneas")</x:f>
        <x:v>HYPERLINK is not implemented. linkLocation=https://pokecottage.com/pokemon-master-sets/xerneas, friendlyName=Xerneas</x:v>
      </x:c>
      <x:c r="D717" s="8" t="str">
        <x:v>Gen 6 • Kalos</x:v>
      </x:c>
      <x:c r="E717" s="8"/>
      <x:c r="F717" s="8"/>
    </x:row>
    <x:row r="718" ht="25" customHeight="1">
      <x:c r="A718" s="13" t="str">
        <x:v>☐</x:v>
      </x:c>
      <x:c r="B718" s="11" t="n">
        <x:v>717</x:v>
      </x:c>
      <x:c r="C718" s="15" t="e">
        <x:f>HYPERLINK("https://pokecottage.com/pokemon-master-sets/yveltal","Yveltal")</x:f>
        <x:v>HYPERLINK is not implemented. linkLocation=https://pokecottage.com/pokemon-master-sets/yveltal, friendlyName=Yveltal</x:v>
      </x:c>
      <x:c r="D718" s="7" t="str">
        <x:v>Gen 6 • Kalos</x:v>
      </x:c>
      <x:c r="E718" s="7"/>
      <x:c r="F718" s="7"/>
    </x:row>
    <x:row r="719" ht="25" customHeight="1">
      <x:c r="A719" s="14" t="str">
        <x:v>☐</x:v>
      </x:c>
      <x:c r="B719" s="12" t="n">
        <x:v>718</x:v>
      </x:c>
      <x:c r="C719" s="16" t="e">
        <x:f>HYPERLINK("https://pokecottage.com/pokemon-master-sets/zygarde","Zygarde")</x:f>
        <x:v>HYPERLINK is not implemented. linkLocation=https://pokecottage.com/pokemon-master-sets/zygarde, friendlyName=Zygarde</x:v>
      </x:c>
      <x:c r="D719" s="8" t="str">
        <x:v>Gen 6 • Kalos</x:v>
      </x:c>
      <x:c r="E719" s="8"/>
      <x:c r="F719" s="8"/>
    </x:row>
    <x:row r="720" ht="25" customHeight="1">
      <x:c r="A720" s="13" t="str">
        <x:v>☐</x:v>
      </x:c>
      <x:c r="B720" s="11" t="n">
        <x:v>719</x:v>
      </x:c>
      <x:c r="C720" s="15" t="e">
        <x:f>HYPERLINK("https://pokecottage.com/pokemon-master-sets/diancie","Diancie")</x:f>
        <x:v>HYPERLINK is not implemented. linkLocation=https://pokecottage.com/pokemon-master-sets/diancie, friendlyName=Diancie</x:v>
      </x:c>
      <x:c r="D720" s="7" t="str">
        <x:v>Gen 6 • Kalos</x:v>
      </x:c>
      <x:c r="E720" s="7"/>
      <x:c r="F720" s="7"/>
    </x:row>
    <x:row r="721" ht="25" customHeight="1">
      <x:c r="A721" s="14" t="str">
        <x:v>☐</x:v>
      </x:c>
      <x:c r="B721" s="12" t="n">
        <x:v>720</x:v>
      </x:c>
      <x:c r="C721" s="16" t="e">
        <x:f>HYPERLINK("https://pokecottage.com/pokemon-master-sets/hoopa","Hoopa")</x:f>
        <x:v>HYPERLINK is not implemented. linkLocation=https://pokecottage.com/pokemon-master-sets/hoopa, friendlyName=Hoopa</x:v>
      </x:c>
      <x:c r="D721" s="8" t="str">
        <x:v>Gen 6 • Kalos</x:v>
      </x:c>
      <x:c r="E721" s="8"/>
      <x:c r="F721" s="8"/>
    </x:row>
    <x:row r="722" ht="25" customHeight="1">
      <x:c r="A722" s="13" t="str">
        <x:v>☐</x:v>
      </x:c>
      <x:c r="B722" s="11" t="n">
        <x:v>721</x:v>
      </x:c>
      <x:c r="C722" s="15" t="e">
        <x:f>HYPERLINK("https://pokecottage.com/pokemon-master-sets/volcanion","Volcanion")</x:f>
        <x:v>HYPERLINK is not implemented. linkLocation=https://pokecottage.com/pokemon-master-sets/volcanion, friendlyName=Volcanion</x:v>
      </x:c>
      <x:c r="D722" s="7" t="str">
        <x:v>Gen 6 • Kalos</x:v>
      </x:c>
      <x:c r="E722" s="7"/>
      <x:c r="F722" s="7"/>
    </x:row>
    <x:row r="723" ht="25" customHeight="1">
      <x:c r="A723" s="14" t="str">
        <x:v>☐</x:v>
      </x:c>
      <x:c r="B723" s="12" t="n">
        <x:v>722</x:v>
      </x:c>
      <x:c r="C723" s="16" t="e">
        <x:f>HYPERLINK("https://pokecottage.com/pokemon-master-sets/rowlet","Rowlet")</x:f>
        <x:v>HYPERLINK is not implemented. linkLocation=https://pokecottage.com/pokemon-master-sets/rowlet, friendlyName=Rowlet</x:v>
      </x:c>
      <x:c r="D723" s="8" t="str">
        <x:v>Gen 7 • Alola</x:v>
      </x:c>
      <x:c r="E723" s="8"/>
      <x:c r="F723" s="8"/>
    </x:row>
    <x:row r="724" ht="25" customHeight="1">
      <x:c r="A724" s="13" t="str">
        <x:v>☐</x:v>
      </x:c>
      <x:c r="B724" s="11" t="n">
        <x:v>723</x:v>
      </x:c>
      <x:c r="C724" s="15" t="e">
        <x:f>HYPERLINK("https://pokecottage.com/pokemon-master-sets/dartrix","Dartrix")</x:f>
        <x:v>HYPERLINK is not implemented. linkLocation=https://pokecottage.com/pokemon-master-sets/dartrix, friendlyName=Dartrix</x:v>
      </x:c>
      <x:c r="D724" s="7" t="str">
        <x:v>Gen 7 • Alola</x:v>
      </x:c>
      <x:c r="E724" s="7"/>
      <x:c r="F724" s="7"/>
    </x:row>
    <x:row r="725" ht="25" customHeight="1">
      <x:c r="A725" s="14" t="str">
        <x:v>☐</x:v>
      </x:c>
      <x:c r="B725" s="12" t="n">
        <x:v>724</x:v>
      </x:c>
      <x:c r="C725" s="16" t="e">
        <x:f>HYPERLINK("https://pokecottage.com/pokemon-master-sets/decidueye","Decidueye")</x:f>
        <x:v>HYPERLINK is not implemented. linkLocation=https://pokecottage.com/pokemon-master-sets/decidueye, friendlyName=Decidueye</x:v>
      </x:c>
      <x:c r="D725" s="8" t="str">
        <x:v>Gen 7 • Alola</x:v>
      </x:c>
      <x:c r="E725" s="8"/>
      <x:c r="F725" s="8"/>
    </x:row>
    <x:row r="726" ht="25" customHeight="1">
      <x:c r="A726" s="13" t="str">
        <x:v>☐</x:v>
      </x:c>
      <x:c r="B726" s="11" t="n">
        <x:v>725</x:v>
      </x:c>
      <x:c r="C726" s="15" t="e">
        <x:f>HYPERLINK("https://pokecottage.com/pokemon-master-sets/litten","Litten")</x:f>
        <x:v>HYPERLINK is not implemented. linkLocation=https://pokecottage.com/pokemon-master-sets/litten, friendlyName=Litten</x:v>
      </x:c>
      <x:c r="D726" s="7" t="str">
        <x:v>Gen 7 • Alola</x:v>
      </x:c>
      <x:c r="E726" s="7"/>
      <x:c r="F726" s="7"/>
    </x:row>
    <x:row r="727" ht="25" customHeight="1">
      <x:c r="A727" s="14" t="str">
        <x:v>☐</x:v>
      </x:c>
      <x:c r="B727" s="12" t="n">
        <x:v>726</x:v>
      </x:c>
      <x:c r="C727" s="16" t="e">
        <x:f>HYPERLINK("https://pokecottage.com/pokemon-master-sets/torracat","Torracat")</x:f>
        <x:v>HYPERLINK is not implemented. linkLocation=https://pokecottage.com/pokemon-master-sets/torracat, friendlyName=Torracat</x:v>
      </x:c>
      <x:c r="D727" s="8" t="str">
        <x:v>Gen 7 • Alola</x:v>
      </x:c>
      <x:c r="E727" s="8"/>
      <x:c r="F727" s="8"/>
    </x:row>
    <x:row r="728" ht="25" customHeight="1">
      <x:c r="A728" s="13" t="str">
        <x:v>☐</x:v>
      </x:c>
      <x:c r="B728" s="11" t="n">
        <x:v>727</x:v>
      </x:c>
      <x:c r="C728" s="15" t="e">
        <x:f>HYPERLINK("https://pokecottage.com/pokemon-master-sets/incineroar","Incineroar")</x:f>
        <x:v>HYPERLINK is not implemented. linkLocation=https://pokecottage.com/pokemon-master-sets/incineroar, friendlyName=Incineroar</x:v>
      </x:c>
      <x:c r="D728" s="7" t="str">
        <x:v>Gen 7 • Alola</x:v>
      </x:c>
      <x:c r="E728" s="7"/>
      <x:c r="F728" s="7"/>
    </x:row>
    <x:row r="729" ht="25" customHeight="1">
      <x:c r="A729" s="14" t="str">
        <x:v>☐</x:v>
      </x:c>
      <x:c r="B729" s="12" t="n">
        <x:v>728</x:v>
      </x:c>
      <x:c r="C729" s="16" t="e">
        <x:f>HYPERLINK("https://pokecottage.com/pokemon-master-sets/popplio","Popplio")</x:f>
        <x:v>HYPERLINK is not implemented. linkLocation=https://pokecottage.com/pokemon-master-sets/popplio, friendlyName=Popplio</x:v>
      </x:c>
      <x:c r="D729" s="8" t="str">
        <x:v>Gen 7 • Alola</x:v>
      </x:c>
      <x:c r="E729" s="8"/>
      <x:c r="F729" s="8"/>
    </x:row>
    <x:row r="730" ht="25" customHeight="1">
      <x:c r="A730" s="13" t="str">
        <x:v>☐</x:v>
      </x:c>
      <x:c r="B730" s="11" t="n">
        <x:v>729</x:v>
      </x:c>
      <x:c r="C730" s="15" t="e">
        <x:f>HYPERLINK("https://pokecottage.com/pokemon-master-sets/brionne","Brionne")</x:f>
        <x:v>HYPERLINK is not implemented. linkLocation=https://pokecottage.com/pokemon-master-sets/brionne, friendlyName=Brionne</x:v>
      </x:c>
      <x:c r="D730" s="7" t="str">
        <x:v>Gen 7 • Alola</x:v>
      </x:c>
      <x:c r="E730" s="7"/>
      <x:c r="F730" s="7"/>
    </x:row>
    <x:row r="731" ht="25" customHeight="1">
      <x:c r="A731" s="14" t="str">
        <x:v>☐</x:v>
      </x:c>
      <x:c r="B731" s="12" t="n">
        <x:v>730</x:v>
      </x:c>
      <x:c r="C731" s="16" t="e">
        <x:f>HYPERLINK("https://pokecottage.com/pokemon-master-sets/primarina","Primarina")</x:f>
        <x:v>HYPERLINK is not implemented. linkLocation=https://pokecottage.com/pokemon-master-sets/primarina, friendlyName=Primarina</x:v>
      </x:c>
      <x:c r="D731" s="8" t="str">
        <x:v>Gen 7 • Alola</x:v>
      </x:c>
      <x:c r="E731" s="8"/>
      <x:c r="F731" s="8"/>
    </x:row>
    <x:row r="732" ht="25" customHeight="1">
      <x:c r="A732" s="13" t="str">
        <x:v>☐</x:v>
      </x:c>
      <x:c r="B732" s="11" t="n">
        <x:v>731</x:v>
      </x:c>
      <x:c r="C732" s="15" t="e">
        <x:f>HYPERLINK("https://pokecottage.com/pokemon-master-sets/pikipek","Pikipek")</x:f>
        <x:v>HYPERLINK is not implemented. linkLocation=https://pokecottage.com/pokemon-master-sets/pikipek, friendlyName=Pikipek</x:v>
      </x:c>
      <x:c r="D732" s="7" t="str">
        <x:v>Gen 7 • Alola</x:v>
      </x:c>
      <x:c r="E732" s="7"/>
      <x:c r="F732" s="7"/>
    </x:row>
    <x:row r="733" ht="25" customHeight="1">
      <x:c r="A733" s="14" t="str">
        <x:v>☐</x:v>
      </x:c>
      <x:c r="B733" s="12" t="n">
        <x:v>732</x:v>
      </x:c>
      <x:c r="C733" s="16" t="e">
        <x:f>HYPERLINK("https://pokecottage.com/pokemon-master-sets/trumbeak","Trumbeak")</x:f>
        <x:v>HYPERLINK is not implemented. linkLocation=https://pokecottage.com/pokemon-master-sets/trumbeak, friendlyName=Trumbeak</x:v>
      </x:c>
      <x:c r="D733" s="8" t="str">
        <x:v>Gen 7 • Alola</x:v>
      </x:c>
      <x:c r="E733" s="8"/>
      <x:c r="F733" s="8"/>
    </x:row>
    <x:row r="734" ht="25" customHeight="1">
      <x:c r="A734" s="13" t="str">
        <x:v>☐</x:v>
      </x:c>
      <x:c r="B734" s="11" t="n">
        <x:v>733</x:v>
      </x:c>
      <x:c r="C734" s="15" t="e">
        <x:f>HYPERLINK("https://pokecottage.com/pokemon-master-sets/toucannon","Toucannon")</x:f>
        <x:v>HYPERLINK is not implemented. linkLocation=https://pokecottage.com/pokemon-master-sets/toucannon, friendlyName=Toucannon</x:v>
      </x:c>
      <x:c r="D734" s="7" t="str">
        <x:v>Gen 7 • Alola</x:v>
      </x:c>
      <x:c r="E734" s="7"/>
      <x:c r="F734" s="7"/>
    </x:row>
    <x:row r="735" ht="25" customHeight="1">
      <x:c r="A735" s="14" t="str">
        <x:v>☐</x:v>
      </x:c>
      <x:c r="B735" s="12" t="n">
        <x:v>734</x:v>
      </x:c>
      <x:c r="C735" s="16" t="e">
        <x:f>HYPERLINK("https://pokecottage.com/pokemon-master-sets/yungoos","Yungoos")</x:f>
        <x:v>HYPERLINK is not implemented. linkLocation=https://pokecottage.com/pokemon-master-sets/yungoos, friendlyName=Yungoos</x:v>
      </x:c>
      <x:c r="D735" s="8" t="str">
        <x:v>Gen 7 • Alola</x:v>
      </x:c>
      <x:c r="E735" s="8"/>
      <x:c r="F735" s="8"/>
    </x:row>
    <x:row r="736" ht="25" customHeight="1">
      <x:c r="A736" s="13" t="str">
        <x:v>☐</x:v>
      </x:c>
      <x:c r="B736" s="11" t="n">
        <x:v>735</x:v>
      </x:c>
      <x:c r="C736" s="15" t="e">
        <x:f>HYPERLINK("https://pokecottage.com/pokemon-master-sets/gumshoos","Gumshoos")</x:f>
        <x:v>HYPERLINK is not implemented. linkLocation=https://pokecottage.com/pokemon-master-sets/gumshoos, friendlyName=Gumshoos</x:v>
      </x:c>
      <x:c r="D736" s="7" t="str">
        <x:v>Gen 7 • Alola</x:v>
      </x:c>
      <x:c r="E736" s="7"/>
      <x:c r="F736" s="7"/>
    </x:row>
    <x:row r="737" ht="25" customHeight="1">
      <x:c r="A737" s="14" t="str">
        <x:v>☐</x:v>
      </x:c>
      <x:c r="B737" s="12" t="n">
        <x:v>736</x:v>
      </x:c>
      <x:c r="C737" s="16" t="e">
        <x:f>HYPERLINK("https://pokecottage.com/pokemon-master-sets/grubbin","Grubbin")</x:f>
        <x:v>HYPERLINK is not implemented. linkLocation=https://pokecottage.com/pokemon-master-sets/grubbin, friendlyName=Grubbin</x:v>
      </x:c>
      <x:c r="D737" s="8" t="str">
        <x:v>Gen 7 • Alola</x:v>
      </x:c>
      <x:c r="E737" s="8"/>
      <x:c r="F737" s="8"/>
    </x:row>
    <x:row r="738" ht="25" customHeight="1">
      <x:c r="A738" s="13" t="str">
        <x:v>☐</x:v>
      </x:c>
      <x:c r="B738" s="11" t="n">
        <x:v>737</x:v>
      </x:c>
      <x:c r="C738" s="15" t="e">
        <x:f>HYPERLINK("https://pokecottage.com/pokemon-master-sets/charjabug","Charjabug")</x:f>
        <x:v>HYPERLINK is not implemented. linkLocation=https://pokecottage.com/pokemon-master-sets/charjabug, friendlyName=Charjabug</x:v>
      </x:c>
      <x:c r="D738" s="7" t="str">
        <x:v>Gen 7 • Alola</x:v>
      </x:c>
      <x:c r="E738" s="7"/>
      <x:c r="F738" s="7"/>
    </x:row>
    <x:row r="739" ht="25" customHeight="1">
      <x:c r="A739" s="14" t="str">
        <x:v>☐</x:v>
      </x:c>
      <x:c r="B739" s="12" t="n">
        <x:v>738</x:v>
      </x:c>
      <x:c r="C739" s="16" t="e">
        <x:f>HYPERLINK("https://pokecottage.com/pokemon-master-sets/vikavolt","Vikavolt")</x:f>
        <x:v>HYPERLINK is not implemented. linkLocation=https://pokecottage.com/pokemon-master-sets/vikavolt, friendlyName=Vikavolt</x:v>
      </x:c>
      <x:c r="D739" s="8" t="str">
        <x:v>Gen 7 • Alola</x:v>
      </x:c>
      <x:c r="E739" s="8"/>
      <x:c r="F739" s="8"/>
    </x:row>
    <x:row r="740" ht="25" customHeight="1">
      <x:c r="A740" s="13" t="str">
        <x:v>☐</x:v>
      </x:c>
      <x:c r="B740" s="11" t="n">
        <x:v>739</x:v>
      </x:c>
      <x:c r="C740" s="15" t="e">
        <x:f>HYPERLINK("https://pokecottage.com/pokemon-master-sets/crabrawler","Crabrawler")</x:f>
        <x:v>HYPERLINK is not implemented. linkLocation=https://pokecottage.com/pokemon-master-sets/crabrawler, friendlyName=Crabrawler</x:v>
      </x:c>
      <x:c r="D740" s="7" t="str">
        <x:v>Gen 7 • Alola</x:v>
      </x:c>
      <x:c r="E740" s="7"/>
      <x:c r="F740" s="7"/>
    </x:row>
    <x:row r="741" ht="25" customHeight="1">
      <x:c r="A741" s="14" t="str">
        <x:v>☐</x:v>
      </x:c>
      <x:c r="B741" s="12" t="n">
        <x:v>740</x:v>
      </x:c>
      <x:c r="C741" s="16" t="e">
        <x:f>HYPERLINK("https://pokecottage.com/pokemon-master-sets/crabominable","Crabominable")</x:f>
        <x:v>HYPERLINK is not implemented. linkLocation=https://pokecottage.com/pokemon-master-sets/crabominable, friendlyName=Crabominable</x:v>
      </x:c>
      <x:c r="D741" s="8" t="str">
        <x:v>Gen 7 • Alola</x:v>
      </x:c>
      <x:c r="E741" s="8"/>
      <x:c r="F741" s="8"/>
    </x:row>
    <x:row r="742" ht="25" customHeight="1">
      <x:c r="A742" s="13" t="str">
        <x:v>☐</x:v>
      </x:c>
      <x:c r="B742" s="11" t="n">
        <x:v>741</x:v>
      </x:c>
      <x:c r="C742" s="15" t="e">
        <x:f>HYPERLINK("https://pokecottage.com/pokemon-master-sets/oricorio","Oricorio")</x:f>
        <x:v>HYPERLINK is not implemented. linkLocation=https://pokecottage.com/pokemon-master-sets/oricorio, friendlyName=Oricorio</x:v>
      </x:c>
      <x:c r="D742" s="7" t="str">
        <x:v>Gen 7 • Alola</x:v>
      </x:c>
      <x:c r="E742" s="7"/>
      <x:c r="F742" s="7"/>
    </x:row>
    <x:row r="743" ht="25" customHeight="1">
      <x:c r="A743" s="14" t="str">
        <x:v>☐</x:v>
      </x:c>
      <x:c r="B743" s="12" t="n">
        <x:v>742</x:v>
      </x:c>
      <x:c r="C743" s="16" t="e">
        <x:f>HYPERLINK("https://pokecottage.com/pokemon-master-sets/cutiefly","Cutiefly")</x:f>
        <x:v>HYPERLINK is not implemented. linkLocation=https://pokecottage.com/pokemon-master-sets/cutiefly, friendlyName=Cutiefly</x:v>
      </x:c>
      <x:c r="D743" s="8" t="str">
        <x:v>Gen 7 • Alola</x:v>
      </x:c>
      <x:c r="E743" s="8"/>
      <x:c r="F743" s="8"/>
    </x:row>
    <x:row r="744" ht="25" customHeight="1">
      <x:c r="A744" s="13" t="str">
        <x:v>☐</x:v>
      </x:c>
      <x:c r="B744" s="11" t="n">
        <x:v>743</x:v>
      </x:c>
      <x:c r="C744" s="15" t="e">
        <x:f>HYPERLINK("https://pokecottage.com/pokemon-master-sets/ribombee","Ribombee")</x:f>
        <x:v>HYPERLINK is not implemented. linkLocation=https://pokecottage.com/pokemon-master-sets/ribombee, friendlyName=Ribombee</x:v>
      </x:c>
      <x:c r="D744" s="7" t="str">
        <x:v>Gen 7 • Alola</x:v>
      </x:c>
      <x:c r="E744" s="7"/>
      <x:c r="F744" s="7"/>
    </x:row>
    <x:row r="745" ht="25" customHeight="1">
      <x:c r="A745" s="14" t="str">
        <x:v>☐</x:v>
      </x:c>
      <x:c r="B745" s="12" t="n">
        <x:v>744</x:v>
      </x:c>
      <x:c r="C745" s="16" t="e">
        <x:f>HYPERLINK("https://pokecottage.com/pokemon-master-sets/rockruff","Rockruff")</x:f>
        <x:v>HYPERLINK is not implemented. linkLocation=https://pokecottage.com/pokemon-master-sets/rockruff, friendlyName=Rockruff</x:v>
      </x:c>
      <x:c r="D745" s="8" t="str">
        <x:v>Gen 7 • Alola</x:v>
      </x:c>
      <x:c r="E745" s="8"/>
      <x:c r="F745" s="8"/>
    </x:row>
    <x:row r="746" ht="25" customHeight="1">
      <x:c r="A746" s="13" t="str">
        <x:v>☐</x:v>
      </x:c>
      <x:c r="B746" s="11" t="n">
        <x:v>745</x:v>
      </x:c>
      <x:c r="C746" s="15" t="e">
        <x:f>HYPERLINK("https://pokecottage.com/pokemon-master-sets/lycanroc","Lycanroc")</x:f>
        <x:v>HYPERLINK is not implemented. linkLocation=https://pokecottage.com/pokemon-master-sets/lycanroc, friendlyName=Lycanroc</x:v>
      </x:c>
      <x:c r="D746" s="7" t="str">
        <x:v>Gen 7 • Alola</x:v>
      </x:c>
      <x:c r="E746" s="7"/>
      <x:c r="F746" s="7"/>
    </x:row>
    <x:row r="747" ht="25" customHeight="1">
      <x:c r="A747" s="14" t="str">
        <x:v>☐</x:v>
      </x:c>
      <x:c r="B747" s="12" t="n">
        <x:v>746</x:v>
      </x:c>
      <x:c r="C747" s="16" t="e">
        <x:f>HYPERLINK("https://pokecottage.com/pokemon-master-sets/wishiwashi","Wishiwashi")</x:f>
        <x:v>HYPERLINK is not implemented. linkLocation=https://pokecottage.com/pokemon-master-sets/wishiwashi, friendlyName=Wishiwashi</x:v>
      </x:c>
      <x:c r="D747" s="8" t="str">
        <x:v>Gen 7 • Alola</x:v>
      </x:c>
      <x:c r="E747" s="8"/>
      <x:c r="F747" s="8"/>
    </x:row>
    <x:row r="748" ht="25" customHeight="1">
      <x:c r="A748" s="13" t="str">
        <x:v>☐</x:v>
      </x:c>
      <x:c r="B748" s="11" t="n">
        <x:v>747</x:v>
      </x:c>
      <x:c r="C748" s="15" t="e">
        <x:f>HYPERLINK("https://pokecottage.com/pokemon-master-sets/mareanie","Mareanie")</x:f>
        <x:v>HYPERLINK is not implemented. linkLocation=https://pokecottage.com/pokemon-master-sets/mareanie, friendlyName=Mareanie</x:v>
      </x:c>
      <x:c r="D748" s="7" t="str">
        <x:v>Gen 7 • Alola</x:v>
      </x:c>
      <x:c r="E748" s="7"/>
      <x:c r="F748" s="7"/>
    </x:row>
    <x:row r="749" ht="25" customHeight="1">
      <x:c r="A749" s="14" t="str">
        <x:v>☐</x:v>
      </x:c>
      <x:c r="B749" s="12" t="n">
        <x:v>748</x:v>
      </x:c>
      <x:c r="C749" s="16" t="e">
        <x:f>HYPERLINK("https://pokecottage.com/pokemon-master-sets/toxapex","Toxapex")</x:f>
        <x:v>HYPERLINK is not implemented. linkLocation=https://pokecottage.com/pokemon-master-sets/toxapex, friendlyName=Toxapex</x:v>
      </x:c>
      <x:c r="D749" s="8" t="str">
        <x:v>Gen 7 • Alola</x:v>
      </x:c>
      <x:c r="E749" s="8"/>
      <x:c r="F749" s="8"/>
    </x:row>
    <x:row r="750" ht="25" customHeight="1">
      <x:c r="A750" s="13" t="str">
        <x:v>☐</x:v>
      </x:c>
      <x:c r="B750" s="11" t="n">
        <x:v>749</x:v>
      </x:c>
      <x:c r="C750" s="15" t="e">
        <x:f>HYPERLINK("https://pokecottage.com/pokemon-master-sets/mudbray","Mudbray")</x:f>
        <x:v>HYPERLINK is not implemented. linkLocation=https://pokecottage.com/pokemon-master-sets/mudbray, friendlyName=Mudbray</x:v>
      </x:c>
      <x:c r="D750" s="7" t="str">
        <x:v>Gen 7 • Alola</x:v>
      </x:c>
      <x:c r="E750" s="7"/>
      <x:c r="F750" s="7"/>
    </x:row>
    <x:row r="751" ht="25" customHeight="1">
      <x:c r="A751" s="14" t="str">
        <x:v>☐</x:v>
      </x:c>
      <x:c r="B751" s="12" t="n">
        <x:v>750</x:v>
      </x:c>
      <x:c r="C751" s="16" t="e">
        <x:f>HYPERLINK("https://pokecottage.com/pokemon-master-sets/mudsdale","Mudsdale")</x:f>
        <x:v>HYPERLINK is not implemented. linkLocation=https://pokecottage.com/pokemon-master-sets/mudsdale, friendlyName=Mudsdale</x:v>
      </x:c>
      <x:c r="D751" s="8" t="str">
        <x:v>Gen 7 • Alola</x:v>
      </x:c>
      <x:c r="E751" s="8"/>
      <x:c r="F751" s="8"/>
    </x:row>
    <x:row r="752" ht="25" customHeight="1">
      <x:c r="A752" s="13" t="str">
        <x:v>☐</x:v>
      </x:c>
      <x:c r="B752" s="11" t="n">
        <x:v>751</x:v>
      </x:c>
      <x:c r="C752" s="15" t="e">
        <x:f>HYPERLINK("https://pokecottage.com/pokemon-master-sets/dewpider","Dewpider")</x:f>
        <x:v>HYPERLINK is not implemented. linkLocation=https://pokecottage.com/pokemon-master-sets/dewpider, friendlyName=Dewpider</x:v>
      </x:c>
      <x:c r="D752" s="7" t="str">
        <x:v>Gen 7 • Alola</x:v>
      </x:c>
      <x:c r="E752" s="7"/>
      <x:c r="F752" s="7"/>
    </x:row>
    <x:row r="753" ht="25" customHeight="1">
      <x:c r="A753" s="14" t="str">
        <x:v>☐</x:v>
      </x:c>
      <x:c r="B753" s="12" t="n">
        <x:v>752</x:v>
      </x:c>
      <x:c r="C753" s="16" t="e">
        <x:f>HYPERLINK("https://pokecottage.com/pokemon-master-sets/araquanid","Araquanid")</x:f>
        <x:v>HYPERLINK is not implemented. linkLocation=https://pokecottage.com/pokemon-master-sets/araquanid, friendlyName=Araquanid</x:v>
      </x:c>
      <x:c r="D753" s="8" t="str">
        <x:v>Gen 7 • Alola</x:v>
      </x:c>
      <x:c r="E753" s="8"/>
      <x:c r="F753" s="8"/>
    </x:row>
    <x:row r="754" ht="25" customHeight="1">
      <x:c r="A754" s="13" t="str">
        <x:v>☐</x:v>
      </x:c>
      <x:c r="B754" s="11" t="n">
        <x:v>753</x:v>
      </x:c>
      <x:c r="C754" s="15" t="e">
        <x:f>HYPERLINK("https://pokecottage.com/pokemon-master-sets/fomantis","Fomantis")</x:f>
        <x:v>HYPERLINK is not implemented. linkLocation=https://pokecottage.com/pokemon-master-sets/fomantis, friendlyName=Fomantis</x:v>
      </x:c>
      <x:c r="D754" s="7" t="str">
        <x:v>Gen 7 • Alola</x:v>
      </x:c>
      <x:c r="E754" s="7"/>
      <x:c r="F754" s="7"/>
    </x:row>
    <x:row r="755" ht="25" customHeight="1">
      <x:c r="A755" s="14" t="str">
        <x:v>☐</x:v>
      </x:c>
      <x:c r="B755" s="12" t="n">
        <x:v>754</x:v>
      </x:c>
      <x:c r="C755" s="16" t="e">
        <x:f>HYPERLINK("https://pokecottage.com/pokemon-master-sets/lurantis","Lurantis")</x:f>
        <x:v>HYPERLINK is not implemented. linkLocation=https://pokecottage.com/pokemon-master-sets/lurantis, friendlyName=Lurantis</x:v>
      </x:c>
      <x:c r="D755" s="8" t="str">
        <x:v>Gen 7 • Alola</x:v>
      </x:c>
      <x:c r="E755" s="8"/>
      <x:c r="F755" s="8"/>
    </x:row>
    <x:row r="756" ht="25" customHeight="1">
      <x:c r="A756" s="13" t="str">
        <x:v>☐</x:v>
      </x:c>
      <x:c r="B756" s="11" t="n">
        <x:v>755</x:v>
      </x:c>
      <x:c r="C756" s="15" t="e">
        <x:f>HYPERLINK("https://pokecottage.com/pokemon-master-sets/morelull","Morelull")</x:f>
        <x:v>HYPERLINK is not implemented. linkLocation=https://pokecottage.com/pokemon-master-sets/morelull, friendlyName=Morelull</x:v>
      </x:c>
      <x:c r="D756" s="7" t="str">
        <x:v>Gen 7 • Alola</x:v>
      </x:c>
      <x:c r="E756" s="7"/>
      <x:c r="F756" s="7"/>
    </x:row>
    <x:row r="757" ht="25" customHeight="1">
      <x:c r="A757" s="14" t="str">
        <x:v>☐</x:v>
      </x:c>
      <x:c r="B757" s="12" t="n">
        <x:v>756</x:v>
      </x:c>
      <x:c r="C757" s="16" t="e">
        <x:f>HYPERLINK("https://pokecottage.com/pokemon-master-sets/shiinotic","Shiinotic")</x:f>
        <x:v>HYPERLINK is not implemented. linkLocation=https://pokecottage.com/pokemon-master-sets/shiinotic, friendlyName=Shiinotic</x:v>
      </x:c>
      <x:c r="D757" s="8" t="str">
        <x:v>Gen 7 • Alola</x:v>
      </x:c>
      <x:c r="E757" s="8"/>
      <x:c r="F757" s="8"/>
    </x:row>
    <x:row r="758" ht="25" customHeight="1">
      <x:c r="A758" s="13" t="str">
        <x:v>☐</x:v>
      </x:c>
      <x:c r="B758" s="11" t="n">
        <x:v>757</x:v>
      </x:c>
      <x:c r="C758" s="15" t="e">
        <x:f>HYPERLINK("https://pokecottage.com/pokemon-master-sets/salandit","Salandit")</x:f>
        <x:v>HYPERLINK is not implemented. linkLocation=https://pokecottage.com/pokemon-master-sets/salandit, friendlyName=Salandit</x:v>
      </x:c>
      <x:c r="D758" s="7" t="str">
        <x:v>Gen 7 • Alola</x:v>
      </x:c>
      <x:c r="E758" s="7"/>
      <x:c r="F758" s="7"/>
    </x:row>
    <x:row r="759" ht="25" customHeight="1">
      <x:c r="A759" s="14" t="str">
        <x:v>☐</x:v>
      </x:c>
      <x:c r="B759" s="12" t="n">
        <x:v>758</x:v>
      </x:c>
      <x:c r="C759" s="16" t="e">
        <x:f>HYPERLINK("https://pokecottage.com/pokemon-master-sets/salazzle","Salazzle")</x:f>
        <x:v>HYPERLINK is not implemented. linkLocation=https://pokecottage.com/pokemon-master-sets/salazzle, friendlyName=Salazzle</x:v>
      </x:c>
      <x:c r="D759" s="8" t="str">
        <x:v>Gen 7 • Alola</x:v>
      </x:c>
      <x:c r="E759" s="8"/>
      <x:c r="F759" s="8"/>
    </x:row>
    <x:row r="760" ht="25" customHeight="1">
      <x:c r="A760" s="13" t="str">
        <x:v>☐</x:v>
      </x:c>
      <x:c r="B760" s="11" t="n">
        <x:v>759</x:v>
      </x:c>
      <x:c r="C760" s="15" t="e">
        <x:f>HYPERLINK("https://pokecottage.com/pokemon-master-sets/stufful","Stufful")</x:f>
        <x:v>HYPERLINK is not implemented. linkLocation=https://pokecottage.com/pokemon-master-sets/stufful, friendlyName=Stufful</x:v>
      </x:c>
      <x:c r="D760" s="7" t="str">
        <x:v>Gen 7 • Alola</x:v>
      </x:c>
      <x:c r="E760" s="7"/>
      <x:c r="F760" s="7"/>
    </x:row>
    <x:row r="761" ht="25" customHeight="1">
      <x:c r="A761" s="14" t="str">
        <x:v>☐</x:v>
      </x:c>
      <x:c r="B761" s="12" t="n">
        <x:v>760</x:v>
      </x:c>
      <x:c r="C761" s="16" t="e">
        <x:f>HYPERLINK("https://pokecottage.com/pokemon-master-sets/bewear","Bewear")</x:f>
        <x:v>HYPERLINK is not implemented. linkLocation=https://pokecottage.com/pokemon-master-sets/bewear, friendlyName=Bewear</x:v>
      </x:c>
      <x:c r="D761" s="8" t="str">
        <x:v>Gen 7 • Alola</x:v>
      </x:c>
      <x:c r="E761" s="8"/>
      <x:c r="F761" s="8"/>
    </x:row>
    <x:row r="762" ht="25" customHeight="1">
      <x:c r="A762" s="13" t="str">
        <x:v>☐</x:v>
      </x:c>
      <x:c r="B762" s="11" t="n">
        <x:v>761</x:v>
      </x:c>
      <x:c r="C762" s="15" t="e">
        <x:f>HYPERLINK("https://pokecottage.com/pokemon-master-sets/bounsweet","Bounsweet")</x:f>
        <x:v>HYPERLINK is not implemented. linkLocation=https://pokecottage.com/pokemon-master-sets/bounsweet, friendlyName=Bounsweet</x:v>
      </x:c>
      <x:c r="D762" s="7" t="str">
        <x:v>Gen 7 • Alola</x:v>
      </x:c>
      <x:c r="E762" s="7"/>
      <x:c r="F762" s="7"/>
    </x:row>
    <x:row r="763" ht="25" customHeight="1">
      <x:c r="A763" s="14" t="str">
        <x:v>☐</x:v>
      </x:c>
      <x:c r="B763" s="12" t="n">
        <x:v>762</x:v>
      </x:c>
      <x:c r="C763" s="16" t="e">
        <x:f>HYPERLINK("https://pokecottage.com/pokemon-master-sets/steenee","Steenee")</x:f>
        <x:v>HYPERLINK is not implemented. linkLocation=https://pokecottage.com/pokemon-master-sets/steenee, friendlyName=Steenee</x:v>
      </x:c>
      <x:c r="D763" s="8" t="str">
        <x:v>Gen 7 • Alola</x:v>
      </x:c>
      <x:c r="E763" s="8"/>
      <x:c r="F763" s="8"/>
    </x:row>
    <x:row r="764" ht="25" customHeight="1">
      <x:c r="A764" s="13" t="str">
        <x:v>☐</x:v>
      </x:c>
      <x:c r="B764" s="11" t="n">
        <x:v>763</x:v>
      </x:c>
      <x:c r="C764" s="15" t="e">
        <x:f>HYPERLINK("https://pokecottage.com/pokemon-master-sets/tsareena","Tsareena")</x:f>
        <x:v>HYPERLINK is not implemented. linkLocation=https://pokecottage.com/pokemon-master-sets/tsareena, friendlyName=Tsareena</x:v>
      </x:c>
      <x:c r="D764" s="7" t="str">
        <x:v>Gen 7 • Alola</x:v>
      </x:c>
      <x:c r="E764" s="7"/>
      <x:c r="F764" s="7"/>
    </x:row>
    <x:row r="765" ht="25" customHeight="1">
      <x:c r="A765" s="14" t="str">
        <x:v>☐</x:v>
      </x:c>
      <x:c r="B765" s="12" t="n">
        <x:v>764</x:v>
      </x:c>
      <x:c r="C765" s="16" t="e">
        <x:f>HYPERLINK("https://pokecottage.com/pokemon-master-sets/comfey","Comfey")</x:f>
        <x:v>HYPERLINK is not implemented. linkLocation=https://pokecottage.com/pokemon-master-sets/comfey, friendlyName=Comfey</x:v>
      </x:c>
      <x:c r="D765" s="8" t="str">
        <x:v>Gen 7 • Alola</x:v>
      </x:c>
      <x:c r="E765" s="8"/>
      <x:c r="F765" s="8"/>
    </x:row>
    <x:row r="766" ht="25" customHeight="1">
      <x:c r="A766" s="13" t="str">
        <x:v>☐</x:v>
      </x:c>
      <x:c r="B766" s="11" t="n">
        <x:v>765</x:v>
      </x:c>
      <x:c r="C766" s="15" t="e">
        <x:f>HYPERLINK("https://pokecottage.com/pokemon-master-sets/oranguru","Oranguru")</x:f>
        <x:v>HYPERLINK is not implemented. linkLocation=https://pokecottage.com/pokemon-master-sets/oranguru, friendlyName=Oranguru</x:v>
      </x:c>
      <x:c r="D766" s="7" t="str">
        <x:v>Gen 7 • Alola</x:v>
      </x:c>
      <x:c r="E766" s="7"/>
      <x:c r="F766" s="7"/>
    </x:row>
    <x:row r="767" ht="25" customHeight="1">
      <x:c r="A767" s="14" t="str">
        <x:v>☐</x:v>
      </x:c>
      <x:c r="B767" s="12" t="n">
        <x:v>766</x:v>
      </x:c>
      <x:c r="C767" s="16" t="e">
        <x:f>HYPERLINK("https://pokecottage.com/pokemon-master-sets/passimian","Passimian")</x:f>
        <x:v>HYPERLINK is not implemented. linkLocation=https://pokecottage.com/pokemon-master-sets/passimian, friendlyName=Passimian</x:v>
      </x:c>
      <x:c r="D767" s="8" t="str">
        <x:v>Gen 7 • Alola</x:v>
      </x:c>
      <x:c r="E767" s="8"/>
      <x:c r="F767" s="8"/>
    </x:row>
    <x:row r="768" ht="25" customHeight="1">
      <x:c r="A768" s="13" t="str">
        <x:v>☐</x:v>
      </x:c>
      <x:c r="B768" s="11" t="n">
        <x:v>767</x:v>
      </x:c>
      <x:c r="C768" s="15" t="e">
        <x:f>HYPERLINK("https://pokecottage.com/pokemon-master-sets/wimpod","Wimpod")</x:f>
        <x:v>HYPERLINK is not implemented. linkLocation=https://pokecottage.com/pokemon-master-sets/wimpod, friendlyName=Wimpod</x:v>
      </x:c>
      <x:c r="D768" s="7" t="str">
        <x:v>Gen 7 • Alola</x:v>
      </x:c>
      <x:c r="E768" s="7"/>
      <x:c r="F768" s="7"/>
    </x:row>
    <x:row r="769" ht="25" customHeight="1">
      <x:c r="A769" s="14" t="str">
        <x:v>☐</x:v>
      </x:c>
      <x:c r="B769" s="12" t="n">
        <x:v>768</x:v>
      </x:c>
      <x:c r="C769" s="16" t="e">
        <x:f>HYPERLINK("https://pokecottage.com/pokemon-master-sets/golisopod","Golisopod")</x:f>
        <x:v>HYPERLINK is not implemented. linkLocation=https://pokecottage.com/pokemon-master-sets/golisopod, friendlyName=Golisopod</x:v>
      </x:c>
      <x:c r="D769" s="8" t="str">
        <x:v>Gen 7 • Alola</x:v>
      </x:c>
      <x:c r="E769" s="8"/>
      <x:c r="F769" s="8"/>
    </x:row>
    <x:row r="770" ht="25" customHeight="1">
      <x:c r="A770" s="13" t="str">
        <x:v>☐</x:v>
      </x:c>
      <x:c r="B770" s="11" t="n">
        <x:v>769</x:v>
      </x:c>
      <x:c r="C770" s="15" t="e">
        <x:f>HYPERLINK("https://pokecottage.com/pokemon-master-sets/sandygast","Sandygast")</x:f>
        <x:v>HYPERLINK is not implemented. linkLocation=https://pokecottage.com/pokemon-master-sets/sandygast, friendlyName=Sandygast</x:v>
      </x:c>
      <x:c r="D770" s="7" t="str">
        <x:v>Gen 7 • Alola</x:v>
      </x:c>
      <x:c r="E770" s="7"/>
      <x:c r="F770" s="7"/>
    </x:row>
    <x:row r="771" ht="25" customHeight="1">
      <x:c r="A771" s="14" t="str">
        <x:v>☐</x:v>
      </x:c>
      <x:c r="B771" s="12" t="n">
        <x:v>770</x:v>
      </x:c>
      <x:c r="C771" s="16" t="e">
        <x:f>HYPERLINK("https://pokecottage.com/pokemon-master-sets/palossand","Palossand")</x:f>
        <x:v>HYPERLINK is not implemented. linkLocation=https://pokecottage.com/pokemon-master-sets/palossand, friendlyName=Palossand</x:v>
      </x:c>
      <x:c r="D771" s="8" t="str">
        <x:v>Gen 7 • Alola</x:v>
      </x:c>
      <x:c r="E771" s="8"/>
      <x:c r="F771" s="8"/>
    </x:row>
    <x:row r="772" ht="25" customHeight="1">
      <x:c r="A772" s="13" t="str">
        <x:v>☐</x:v>
      </x:c>
      <x:c r="B772" s="11" t="n">
        <x:v>771</x:v>
      </x:c>
      <x:c r="C772" s="15" t="e">
        <x:f>HYPERLINK("https://pokecottage.com/pokemon-master-sets/pyukumuku","Pyukumuku")</x:f>
        <x:v>HYPERLINK is not implemented. linkLocation=https://pokecottage.com/pokemon-master-sets/pyukumuku, friendlyName=Pyukumuku</x:v>
      </x:c>
      <x:c r="D772" s="7" t="str">
        <x:v>Gen 7 • Alola</x:v>
      </x:c>
      <x:c r="E772" s="7"/>
      <x:c r="F772" s="7"/>
    </x:row>
    <x:row r="773" ht="25" customHeight="1">
      <x:c r="A773" s="14" t="str">
        <x:v>☐</x:v>
      </x:c>
      <x:c r="B773" s="12" t="n">
        <x:v>772</x:v>
      </x:c>
      <x:c r="C773" s="16" t="e">
        <x:f>HYPERLINK("https://pokecottage.com/pokemon-master-sets/type-null","Type: Null")</x:f>
        <x:v>HYPERLINK is not implemented. linkLocation=https://pokecottage.com/pokemon-master-sets/type-null, friendlyName=Type: Null</x:v>
      </x:c>
      <x:c r="D773" s="8" t="str">
        <x:v>Gen 7 • Alola</x:v>
      </x:c>
      <x:c r="E773" s="8"/>
      <x:c r="F773" s="8"/>
    </x:row>
    <x:row r="774" ht="25" customHeight="1">
      <x:c r="A774" s="13" t="str">
        <x:v>☐</x:v>
      </x:c>
      <x:c r="B774" s="11" t="n">
        <x:v>773</x:v>
      </x:c>
      <x:c r="C774" s="15" t="e">
        <x:f>HYPERLINK("https://pokecottage.com/pokemon-master-sets/silvally","Silvally")</x:f>
        <x:v>HYPERLINK is not implemented. linkLocation=https://pokecottage.com/pokemon-master-sets/silvally, friendlyName=Silvally</x:v>
      </x:c>
      <x:c r="D774" s="7" t="str">
        <x:v>Gen 7 • Alola</x:v>
      </x:c>
      <x:c r="E774" s="7"/>
      <x:c r="F774" s="7"/>
    </x:row>
    <x:row r="775" ht="25" customHeight="1">
      <x:c r="A775" s="14" t="str">
        <x:v>☐</x:v>
      </x:c>
      <x:c r="B775" s="12" t="n">
        <x:v>774</x:v>
      </x:c>
      <x:c r="C775" s="16" t="e">
        <x:f>HYPERLINK("https://pokecottage.com/pokemon-master-sets/minior","Minior")</x:f>
        <x:v>HYPERLINK is not implemented. linkLocation=https://pokecottage.com/pokemon-master-sets/minior, friendlyName=Minior</x:v>
      </x:c>
      <x:c r="D775" s="8" t="str">
        <x:v>Gen 7 • Alola</x:v>
      </x:c>
      <x:c r="E775" s="8"/>
      <x:c r="F775" s="8"/>
    </x:row>
    <x:row r="776" ht="25" customHeight="1">
      <x:c r="A776" s="13" t="str">
        <x:v>☐</x:v>
      </x:c>
      <x:c r="B776" s="11" t="n">
        <x:v>775</x:v>
      </x:c>
      <x:c r="C776" s="15" t="e">
        <x:f>HYPERLINK("https://pokecottage.com/pokemon-master-sets/komala","Komala")</x:f>
        <x:v>HYPERLINK is not implemented. linkLocation=https://pokecottage.com/pokemon-master-sets/komala, friendlyName=Komala</x:v>
      </x:c>
      <x:c r="D776" s="7" t="str">
        <x:v>Gen 7 • Alola</x:v>
      </x:c>
      <x:c r="E776" s="7"/>
      <x:c r="F776" s="7"/>
    </x:row>
    <x:row r="777" ht="25" customHeight="1">
      <x:c r="A777" s="14" t="str">
        <x:v>☐</x:v>
      </x:c>
      <x:c r="B777" s="12" t="n">
        <x:v>776</x:v>
      </x:c>
      <x:c r="C777" s="16" t="e">
        <x:f>HYPERLINK("https://pokecottage.com/pokemon-master-sets/turtonator","Turtonator")</x:f>
        <x:v>HYPERLINK is not implemented. linkLocation=https://pokecottage.com/pokemon-master-sets/turtonator, friendlyName=Turtonator</x:v>
      </x:c>
      <x:c r="D777" s="8" t="str">
        <x:v>Gen 7 • Alola</x:v>
      </x:c>
      <x:c r="E777" s="8"/>
      <x:c r="F777" s="8"/>
    </x:row>
    <x:row r="778" ht="25" customHeight="1">
      <x:c r="A778" s="13" t="str">
        <x:v>☐</x:v>
      </x:c>
      <x:c r="B778" s="11" t="n">
        <x:v>777</x:v>
      </x:c>
      <x:c r="C778" s="15" t="e">
        <x:f>HYPERLINK("https://pokecottage.com/pokemon-master-sets/togedemaru","Togedemaru")</x:f>
        <x:v>HYPERLINK is not implemented. linkLocation=https://pokecottage.com/pokemon-master-sets/togedemaru, friendlyName=Togedemaru</x:v>
      </x:c>
      <x:c r="D778" s="7" t="str">
        <x:v>Gen 7 • Alola</x:v>
      </x:c>
      <x:c r="E778" s="7"/>
      <x:c r="F778" s="7"/>
    </x:row>
    <x:row r="779" ht="25" customHeight="1">
      <x:c r="A779" s="14" t="str">
        <x:v>☐</x:v>
      </x:c>
      <x:c r="B779" s="12" t="n">
        <x:v>778</x:v>
      </x:c>
      <x:c r="C779" s="16" t="e">
        <x:f>HYPERLINK("https://pokecottage.com/pokemon-master-sets/mimikyu","Mimikyu")</x:f>
        <x:v>HYPERLINK is not implemented. linkLocation=https://pokecottage.com/pokemon-master-sets/mimikyu, friendlyName=Mimikyu</x:v>
      </x:c>
      <x:c r="D779" s="8" t="str">
        <x:v>Gen 7 • Alola</x:v>
      </x:c>
      <x:c r="E779" s="8"/>
      <x:c r="F779" s="8"/>
    </x:row>
    <x:row r="780" ht="25" customHeight="1">
      <x:c r="A780" s="13" t="str">
        <x:v>☐</x:v>
      </x:c>
      <x:c r="B780" s="11" t="n">
        <x:v>779</x:v>
      </x:c>
      <x:c r="C780" s="15" t="e">
        <x:f>HYPERLINK("https://pokecottage.com/pokemon-master-sets/bruxish","Bruxish")</x:f>
        <x:v>HYPERLINK is not implemented. linkLocation=https://pokecottage.com/pokemon-master-sets/bruxish, friendlyName=Bruxish</x:v>
      </x:c>
      <x:c r="D780" s="7" t="str">
        <x:v>Gen 7 • Alola</x:v>
      </x:c>
      <x:c r="E780" s="7"/>
      <x:c r="F780" s="7"/>
    </x:row>
    <x:row r="781" ht="25" customHeight="1">
      <x:c r="A781" s="14" t="str">
        <x:v>☐</x:v>
      </x:c>
      <x:c r="B781" s="12" t="n">
        <x:v>780</x:v>
      </x:c>
      <x:c r="C781" s="16" t="e">
        <x:f>HYPERLINK("https://pokecottage.com/pokemon-master-sets/drampa","Drampa")</x:f>
        <x:v>HYPERLINK is not implemented. linkLocation=https://pokecottage.com/pokemon-master-sets/drampa, friendlyName=Drampa</x:v>
      </x:c>
      <x:c r="D781" s="8" t="str">
        <x:v>Gen 7 • Alola</x:v>
      </x:c>
      <x:c r="E781" s="8"/>
      <x:c r="F781" s="8"/>
    </x:row>
    <x:row r="782" ht="25" customHeight="1">
      <x:c r="A782" s="13" t="str">
        <x:v>☐</x:v>
      </x:c>
      <x:c r="B782" s="11" t="n">
        <x:v>781</x:v>
      </x:c>
      <x:c r="C782" s="15" t="e">
        <x:f>HYPERLINK("https://pokecottage.com/pokemon-master-sets/dhelmise","Dhelmise")</x:f>
        <x:v>HYPERLINK is not implemented. linkLocation=https://pokecottage.com/pokemon-master-sets/dhelmise, friendlyName=Dhelmise</x:v>
      </x:c>
      <x:c r="D782" s="7" t="str">
        <x:v>Gen 7 • Alola</x:v>
      </x:c>
      <x:c r="E782" s="7"/>
      <x:c r="F782" s="7"/>
    </x:row>
    <x:row r="783" ht="25" customHeight="1">
      <x:c r="A783" s="14" t="str">
        <x:v>☐</x:v>
      </x:c>
      <x:c r="B783" s="12" t="n">
        <x:v>782</x:v>
      </x:c>
      <x:c r="C783" s="16" t="e">
        <x:f>HYPERLINK("https://pokecottage.com/pokemon-master-sets/jangmo-o","Jangmo-o")</x:f>
        <x:v>HYPERLINK is not implemented. linkLocation=https://pokecottage.com/pokemon-master-sets/jangmo-o, friendlyName=Jangmo-o</x:v>
      </x:c>
      <x:c r="D783" s="8" t="str">
        <x:v>Gen 7 • Alola</x:v>
      </x:c>
      <x:c r="E783" s="8"/>
      <x:c r="F783" s="8"/>
    </x:row>
    <x:row r="784" ht="25" customHeight="1">
      <x:c r="A784" s="13" t="str">
        <x:v>☐</x:v>
      </x:c>
      <x:c r="B784" s="11" t="n">
        <x:v>783</x:v>
      </x:c>
      <x:c r="C784" s="15" t="e">
        <x:f>HYPERLINK("https://pokecottage.com/pokemon-master-sets/hakamo-o","Hakamo-o")</x:f>
        <x:v>HYPERLINK is not implemented. linkLocation=https://pokecottage.com/pokemon-master-sets/hakamo-o, friendlyName=Hakamo-o</x:v>
      </x:c>
      <x:c r="D784" s="7" t="str">
        <x:v>Gen 7 • Alola</x:v>
      </x:c>
      <x:c r="E784" s="7"/>
      <x:c r="F784" s="7"/>
    </x:row>
    <x:row r="785" ht="25" customHeight="1">
      <x:c r="A785" s="14" t="str">
        <x:v>☐</x:v>
      </x:c>
      <x:c r="B785" s="12" t="n">
        <x:v>784</x:v>
      </x:c>
      <x:c r="C785" s="16" t="e">
        <x:f>HYPERLINK("https://pokecottage.com/pokemon-master-sets/kommo-o","Kommo-o")</x:f>
        <x:v>HYPERLINK is not implemented. linkLocation=https://pokecottage.com/pokemon-master-sets/kommo-o, friendlyName=Kommo-o</x:v>
      </x:c>
      <x:c r="D785" s="8" t="str">
        <x:v>Gen 7 • Alola</x:v>
      </x:c>
      <x:c r="E785" s="8"/>
      <x:c r="F785" s="8"/>
    </x:row>
    <x:row r="786" ht="25" customHeight="1">
      <x:c r="A786" s="13" t="str">
        <x:v>☐</x:v>
      </x:c>
      <x:c r="B786" s="11" t="n">
        <x:v>785</x:v>
      </x:c>
      <x:c r="C786" s="15" t="e">
        <x:f>HYPERLINK("https://pokecottage.com/pokemon-master-sets/tapu-koko","Tapu Koko")</x:f>
        <x:v>HYPERLINK is not implemented. linkLocation=https://pokecottage.com/pokemon-master-sets/tapu-koko, friendlyName=Tapu Koko</x:v>
      </x:c>
      <x:c r="D786" s="7" t="str">
        <x:v>Gen 7 • Alola</x:v>
      </x:c>
      <x:c r="E786" s="7"/>
      <x:c r="F786" s="7"/>
    </x:row>
    <x:row r="787" ht="25" customHeight="1">
      <x:c r="A787" s="14" t="str">
        <x:v>☐</x:v>
      </x:c>
      <x:c r="B787" s="12" t="n">
        <x:v>786</x:v>
      </x:c>
      <x:c r="C787" s="16" t="e">
        <x:f>HYPERLINK("https://pokecottage.com/pokemon-master-sets/tapu-lele","Tapu Lele")</x:f>
        <x:v>HYPERLINK is not implemented. linkLocation=https://pokecottage.com/pokemon-master-sets/tapu-lele, friendlyName=Tapu Lele</x:v>
      </x:c>
      <x:c r="D787" s="8" t="str">
        <x:v>Gen 7 • Alola</x:v>
      </x:c>
      <x:c r="E787" s="8"/>
      <x:c r="F787" s="8"/>
    </x:row>
    <x:row r="788" ht="25" customHeight="1">
      <x:c r="A788" s="13" t="str">
        <x:v>☐</x:v>
      </x:c>
      <x:c r="B788" s="11" t="n">
        <x:v>787</x:v>
      </x:c>
      <x:c r="C788" s="15" t="e">
        <x:f>HYPERLINK("https://pokecottage.com/pokemon-master-sets/tapu-bulu","Tapu Bulu")</x:f>
        <x:v>HYPERLINK is not implemented. linkLocation=https://pokecottage.com/pokemon-master-sets/tapu-bulu, friendlyName=Tapu Bulu</x:v>
      </x:c>
      <x:c r="D788" s="7" t="str">
        <x:v>Gen 7 • Alola</x:v>
      </x:c>
      <x:c r="E788" s="7"/>
      <x:c r="F788" s="7"/>
    </x:row>
    <x:row r="789" ht="25" customHeight="1">
      <x:c r="A789" s="14" t="str">
        <x:v>☐</x:v>
      </x:c>
      <x:c r="B789" s="12" t="n">
        <x:v>788</x:v>
      </x:c>
      <x:c r="C789" s="16" t="e">
        <x:f>HYPERLINK("https://pokecottage.com/pokemon-master-sets/tapu-fini","Tapu Fini")</x:f>
        <x:v>HYPERLINK is not implemented. linkLocation=https://pokecottage.com/pokemon-master-sets/tapu-fini, friendlyName=Tapu Fini</x:v>
      </x:c>
      <x:c r="D789" s="8" t="str">
        <x:v>Gen 7 • Alola</x:v>
      </x:c>
      <x:c r="E789" s="8"/>
      <x:c r="F789" s="8"/>
    </x:row>
    <x:row r="790" ht="25" customHeight="1">
      <x:c r="A790" s="13" t="str">
        <x:v>☐</x:v>
      </x:c>
      <x:c r="B790" s="11" t="n">
        <x:v>789</x:v>
      </x:c>
      <x:c r="C790" s="15" t="e">
        <x:f>HYPERLINK("https://pokecottage.com/pokemon-master-sets/cosmog","Cosmog")</x:f>
        <x:v>HYPERLINK is not implemented. linkLocation=https://pokecottage.com/pokemon-master-sets/cosmog, friendlyName=Cosmog</x:v>
      </x:c>
      <x:c r="D790" s="7" t="str">
        <x:v>Gen 7 • Alola</x:v>
      </x:c>
      <x:c r="E790" s="7"/>
      <x:c r="F790" s="7"/>
    </x:row>
    <x:row r="791" ht="25" customHeight="1">
      <x:c r="A791" s="14" t="str">
        <x:v>☐</x:v>
      </x:c>
      <x:c r="B791" s="12" t="n">
        <x:v>790</x:v>
      </x:c>
      <x:c r="C791" s="16" t="e">
        <x:f>HYPERLINK("https://pokecottage.com/pokemon-master-sets/cosmoem","Cosmoem")</x:f>
        <x:v>HYPERLINK is not implemented. linkLocation=https://pokecottage.com/pokemon-master-sets/cosmoem, friendlyName=Cosmoem</x:v>
      </x:c>
      <x:c r="D791" s="8" t="str">
        <x:v>Gen 7 • Alola</x:v>
      </x:c>
      <x:c r="E791" s="8"/>
      <x:c r="F791" s="8"/>
    </x:row>
    <x:row r="792" ht="25" customHeight="1">
      <x:c r="A792" s="13" t="str">
        <x:v>☐</x:v>
      </x:c>
      <x:c r="B792" s="11" t="n">
        <x:v>791</x:v>
      </x:c>
      <x:c r="C792" s="15" t="e">
        <x:f>HYPERLINK("https://pokecottage.com/pokemon-master-sets/solgaleo","Solgaleo")</x:f>
        <x:v>HYPERLINK is not implemented. linkLocation=https://pokecottage.com/pokemon-master-sets/solgaleo, friendlyName=Solgaleo</x:v>
      </x:c>
      <x:c r="D792" s="7" t="str">
        <x:v>Gen 7 • Alola</x:v>
      </x:c>
      <x:c r="E792" s="7"/>
      <x:c r="F792" s="7"/>
    </x:row>
    <x:row r="793" ht="25" customHeight="1">
      <x:c r="A793" s="14" t="str">
        <x:v>☐</x:v>
      </x:c>
      <x:c r="B793" s="12" t="n">
        <x:v>792</x:v>
      </x:c>
      <x:c r="C793" s="16" t="e">
        <x:f>HYPERLINK("https://pokecottage.com/pokemon-master-sets/lunala","Lunala")</x:f>
        <x:v>HYPERLINK is not implemented. linkLocation=https://pokecottage.com/pokemon-master-sets/lunala, friendlyName=Lunala</x:v>
      </x:c>
      <x:c r="D793" s="8" t="str">
        <x:v>Gen 7 • Alola</x:v>
      </x:c>
      <x:c r="E793" s="8"/>
      <x:c r="F793" s="8"/>
    </x:row>
    <x:row r="794" ht="25" customHeight="1">
      <x:c r="A794" s="13" t="str">
        <x:v>☐</x:v>
      </x:c>
      <x:c r="B794" s="11" t="n">
        <x:v>793</x:v>
      </x:c>
      <x:c r="C794" s="15" t="e">
        <x:f>HYPERLINK("https://pokecottage.com/pokemon-master-sets/nihilego","Nihilego")</x:f>
        <x:v>HYPERLINK is not implemented. linkLocation=https://pokecottage.com/pokemon-master-sets/nihilego, friendlyName=Nihilego</x:v>
      </x:c>
      <x:c r="D794" s="7" t="str">
        <x:v>Gen 7 • Alola</x:v>
      </x:c>
      <x:c r="E794" s="7"/>
      <x:c r="F794" s="7"/>
    </x:row>
    <x:row r="795" ht="25" customHeight="1">
      <x:c r="A795" s="14" t="str">
        <x:v>☐</x:v>
      </x:c>
      <x:c r="B795" s="12" t="n">
        <x:v>794</x:v>
      </x:c>
      <x:c r="C795" s="16" t="e">
        <x:f>HYPERLINK("https://pokecottage.com/pokemon-master-sets/buzzwole","Buzzwole")</x:f>
        <x:v>HYPERLINK is not implemented. linkLocation=https://pokecottage.com/pokemon-master-sets/buzzwole, friendlyName=Buzzwole</x:v>
      </x:c>
      <x:c r="D795" s="8" t="str">
        <x:v>Gen 7 • Alola</x:v>
      </x:c>
      <x:c r="E795" s="8"/>
      <x:c r="F795" s="8"/>
    </x:row>
    <x:row r="796" ht="25" customHeight="1">
      <x:c r="A796" s="13" t="str">
        <x:v>☐</x:v>
      </x:c>
      <x:c r="B796" s="11" t="n">
        <x:v>795</x:v>
      </x:c>
      <x:c r="C796" s="15" t="e">
        <x:f>HYPERLINK("https://pokecottage.com/pokemon-master-sets/pheromosa","Pheromosa")</x:f>
        <x:v>HYPERLINK is not implemented. linkLocation=https://pokecottage.com/pokemon-master-sets/pheromosa, friendlyName=Pheromosa</x:v>
      </x:c>
      <x:c r="D796" s="7" t="str">
        <x:v>Gen 7 • Alola</x:v>
      </x:c>
      <x:c r="E796" s="7"/>
      <x:c r="F796" s="7"/>
    </x:row>
    <x:row r="797" ht="25" customHeight="1">
      <x:c r="A797" s="14" t="str">
        <x:v>☐</x:v>
      </x:c>
      <x:c r="B797" s="12" t="n">
        <x:v>796</x:v>
      </x:c>
      <x:c r="C797" s="16" t="e">
        <x:f>HYPERLINK("https://pokecottage.com/pokemon-master-sets/xurkitree","Xurkitree")</x:f>
        <x:v>HYPERLINK is not implemented. linkLocation=https://pokecottage.com/pokemon-master-sets/xurkitree, friendlyName=Xurkitree</x:v>
      </x:c>
      <x:c r="D797" s="8" t="str">
        <x:v>Gen 7 • Alola</x:v>
      </x:c>
      <x:c r="E797" s="8"/>
      <x:c r="F797" s="8"/>
    </x:row>
    <x:row r="798" ht="25" customHeight="1">
      <x:c r="A798" s="13" t="str">
        <x:v>☐</x:v>
      </x:c>
      <x:c r="B798" s="11" t="n">
        <x:v>797</x:v>
      </x:c>
      <x:c r="C798" s="15" t="e">
        <x:f>HYPERLINK("https://pokecottage.com/pokemon-master-sets/celesteela","Celesteela")</x:f>
        <x:v>HYPERLINK is not implemented. linkLocation=https://pokecottage.com/pokemon-master-sets/celesteela, friendlyName=Celesteela</x:v>
      </x:c>
      <x:c r="D798" s="7" t="str">
        <x:v>Gen 7 • Alola</x:v>
      </x:c>
      <x:c r="E798" s="7"/>
      <x:c r="F798" s="7"/>
    </x:row>
    <x:row r="799" ht="25" customHeight="1">
      <x:c r="A799" s="14" t="str">
        <x:v>☐</x:v>
      </x:c>
      <x:c r="B799" s="12" t="n">
        <x:v>798</x:v>
      </x:c>
      <x:c r="C799" s="16" t="e">
        <x:f>HYPERLINK("https://pokecottage.com/pokemon-master-sets/kartana","Kartana")</x:f>
        <x:v>HYPERLINK is not implemented. linkLocation=https://pokecottage.com/pokemon-master-sets/kartana, friendlyName=Kartana</x:v>
      </x:c>
      <x:c r="D799" s="8" t="str">
        <x:v>Gen 7 • Alola</x:v>
      </x:c>
      <x:c r="E799" s="8"/>
      <x:c r="F799" s="8"/>
    </x:row>
    <x:row r="800" ht="25" customHeight="1">
      <x:c r="A800" s="13" t="str">
        <x:v>☐</x:v>
      </x:c>
      <x:c r="B800" s="11" t="n">
        <x:v>799</x:v>
      </x:c>
      <x:c r="C800" s="15" t="e">
        <x:f>HYPERLINK("https://pokecottage.com/pokemon-master-sets/guzzlord","Guzzlord")</x:f>
        <x:v>HYPERLINK is not implemented. linkLocation=https://pokecottage.com/pokemon-master-sets/guzzlord, friendlyName=Guzzlord</x:v>
      </x:c>
      <x:c r="D800" s="7" t="str">
        <x:v>Gen 7 • Alola</x:v>
      </x:c>
      <x:c r="E800" s="7"/>
      <x:c r="F800" s="7"/>
    </x:row>
    <x:row r="801" ht="25" customHeight="1">
      <x:c r="A801" s="14" t="str">
        <x:v>☐</x:v>
      </x:c>
      <x:c r="B801" s="12" t="n">
        <x:v>800</x:v>
      </x:c>
      <x:c r="C801" s="16" t="e">
        <x:f>HYPERLINK("https://pokecottage.com/pokemon-master-sets/necrozma","Necrozma")</x:f>
        <x:v>HYPERLINK is not implemented. linkLocation=https://pokecottage.com/pokemon-master-sets/necrozma, friendlyName=Necrozma</x:v>
      </x:c>
      <x:c r="D801" s="8" t="str">
        <x:v>Gen 7 • Alola</x:v>
      </x:c>
      <x:c r="E801" s="8"/>
      <x:c r="F801" s="8"/>
    </x:row>
    <x:row r="802" ht="25" customHeight="1">
      <x:c r="A802" s="13" t="str">
        <x:v>☐</x:v>
      </x:c>
      <x:c r="B802" s="11" t="n">
        <x:v>801</x:v>
      </x:c>
      <x:c r="C802" s="15" t="e">
        <x:f>HYPERLINK("https://pokecottage.com/pokemon-master-sets/magearna","Magearna")</x:f>
        <x:v>HYPERLINK is not implemented. linkLocation=https://pokecottage.com/pokemon-master-sets/magearna, friendlyName=Magearna</x:v>
      </x:c>
      <x:c r="D802" s="7" t="str">
        <x:v>Gen 7 • Alola</x:v>
      </x:c>
      <x:c r="E802" s="7"/>
      <x:c r="F802" s="7"/>
    </x:row>
    <x:row r="803" ht="25" customHeight="1">
      <x:c r="A803" s="14" t="str">
        <x:v>☐</x:v>
      </x:c>
      <x:c r="B803" s="12" t="n">
        <x:v>802</x:v>
      </x:c>
      <x:c r="C803" s="16" t="e">
        <x:f>HYPERLINK("https://pokecottage.com/pokemon-master-sets/marshadow","Marshadow")</x:f>
        <x:v>HYPERLINK is not implemented. linkLocation=https://pokecottage.com/pokemon-master-sets/marshadow, friendlyName=Marshadow</x:v>
      </x:c>
      <x:c r="D803" s="8" t="str">
        <x:v>Gen 7 • Alola</x:v>
      </x:c>
      <x:c r="E803" s="8"/>
      <x:c r="F803" s="8"/>
    </x:row>
    <x:row r="804" ht="25" customHeight="1">
      <x:c r="A804" s="13" t="str">
        <x:v>☐</x:v>
      </x:c>
      <x:c r="B804" s="11" t="n">
        <x:v>803</x:v>
      </x:c>
      <x:c r="C804" s="15" t="e">
        <x:f>HYPERLINK("https://pokecottage.com/pokemon-master-sets/poipole","Poipole")</x:f>
        <x:v>HYPERLINK is not implemented. linkLocation=https://pokecottage.com/pokemon-master-sets/poipole, friendlyName=Poipole</x:v>
      </x:c>
      <x:c r="D804" s="7" t="str">
        <x:v>Gen 7 • Alola</x:v>
      </x:c>
      <x:c r="E804" s="7"/>
      <x:c r="F804" s="7"/>
    </x:row>
    <x:row r="805" ht="25" customHeight="1">
      <x:c r="A805" s="14" t="str">
        <x:v>☐</x:v>
      </x:c>
      <x:c r="B805" s="12" t="n">
        <x:v>804</x:v>
      </x:c>
      <x:c r="C805" s="16" t="e">
        <x:f>HYPERLINK("https://pokecottage.com/pokemon-master-sets/naganadel","Naganadel")</x:f>
        <x:v>HYPERLINK is not implemented. linkLocation=https://pokecottage.com/pokemon-master-sets/naganadel, friendlyName=Naganadel</x:v>
      </x:c>
      <x:c r="D805" s="8" t="str">
        <x:v>Gen 7 • Alola</x:v>
      </x:c>
      <x:c r="E805" s="8"/>
      <x:c r="F805" s="8"/>
    </x:row>
    <x:row r="806" ht="25" customHeight="1">
      <x:c r="A806" s="13" t="str">
        <x:v>☐</x:v>
      </x:c>
      <x:c r="B806" s="11" t="n">
        <x:v>805</x:v>
      </x:c>
      <x:c r="C806" s="15" t="e">
        <x:f>HYPERLINK("https://pokecottage.com/pokemon-master-sets/stakataka","Stakataka")</x:f>
        <x:v>HYPERLINK is not implemented. linkLocation=https://pokecottage.com/pokemon-master-sets/stakataka, friendlyName=Stakataka</x:v>
      </x:c>
      <x:c r="D806" s="7" t="str">
        <x:v>Gen 7 • Alola</x:v>
      </x:c>
      <x:c r="E806" s="7"/>
      <x:c r="F806" s="7"/>
    </x:row>
    <x:row r="807" ht="25" customHeight="1">
      <x:c r="A807" s="14" t="str">
        <x:v>☐</x:v>
      </x:c>
      <x:c r="B807" s="12" t="n">
        <x:v>806</x:v>
      </x:c>
      <x:c r="C807" s="16" t="e">
        <x:f>HYPERLINK("https://pokecottage.com/pokemon-master-sets/blacephalon","Blacephalon")</x:f>
        <x:v>HYPERLINK is not implemented. linkLocation=https://pokecottage.com/pokemon-master-sets/blacephalon, friendlyName=Blacephalon</x:v>
      </x:c>
      <x:c r="D807" s="8" t="str">
        <x:v>Gen 7 • Alola</x:v>
      </x:c>
      <x:c r="E807" s="8"/>
      <x:c r="F807" s="8"/>
    </x:row>
    <x:row r="808" ht="25" customHeight="1">
      <x:c r="A808" s="13" t="str">
        <x:v>☐</x:v>
      </x:c>
      <x:c r="B808" s="11" t="n">
        <x:v>807</x:v>
      </x:c>
      <x:c r="C808" s="15" t="e">
        <x:f>HYPERLINK("https://pokecottage.com/pokemon-master-sets/zeraora","Zeraora")</x:f>
        <x:v>HYPERLINK is not implemented. linkLocation=https://pokecottage.com/pokemon-master-sets/zeraora, friendlyName=Zeraora</x:v>
      </x:c>
      <x:c r="D808" s="7" t="str">
        <x:v>Gen 7 • Alola</x:v>
      </x:c>
      <x:c r="E808" s="7"/>
      <x:c r="F808" s="7"/>
    </x:row>
    <x:row r="809" ht="25" customHeight="1">
      <x:c r="A809" s="14" t="str">
        <x:v>☐</x:v>
      </x:c>
      <x:c r="B809" s="12" t="n">
        <x:v>808</x:v>
      </x:c>
      <x:c r="C809" s="16" t="e">
        <x:f>HYPERLINK("https://pokecottage.com/pokemon-master-sets/meltan","Meltan")</x:f>
        <x:v>HYPERLINK is not implemented. linkLocation=https://pokecottage.com/pokemon-master-sets/meltan, friendlyName=Meltan</x:v>
      </x:c>
      <x:c r="D809" s="8" t="str">
        <x:v>Gen 7 • Alola</x:v>
      </x:c>
      <x:c r="E809" s="8"/>
      <x:c r="F809" s="8"/>
    </x:row>
    <x:row r="810" ht="25" customHeight="1">
      <x:c r="A810" s="13" t="str">
        <x:v>☐</x:v>
      </x:c>
      <x:c r="B810" s="11" t="n">
        <x:v>809</x:v>
      </x:c>
      <x:c r="C810" s="15" t="e">
        <x:f>HYPERLINK("https://pokecottage.com/pokemon-master-sets/melmetal","Melmetal")</x:f>
        <x:v>HYPERLINK is not implemented. linkLocation=https://pokecottage.com/pokemon-master-sets/melmetal, friendlyName=Melmetal</x:v>
      </x:c>
      <x:c r="D810" s="7" t="str">
        <x:v>Gen 7 • Alola</x:v>
      </x:c>
      <x:c r="E810" s="7"/>
      <x:c r="F810" s="7"/>
    </x:row>
    <x:row r="811" ht="25" customHeight="1">
      <x:c r="A811" s="14" t="str">
        <x:v>☐</x:v>
      </x:c>
      <x:c r="B811" s="12" t="n">
        <x:v>810</x:v>
      </x:c>
      <x:c r="C811" s="16" t="e">
        <x:f>HYPERLINK("https://pokecottage.com/pokemon-master-sets/grookey","Grookey")</x:f>
        <x:v>HYPERLINK is not implemented. linkLocation=https://pokecottage.com/pokemon-master-sets/grookey, friendlyName=Grookey</x:v>
      </x:c>
      <x:c r="D811" s="8" t="str">
        <x:v>Gen 8 • Galar</x:v>
      </x:c>
      <x:c r="E811" s="8"/>
      <x:c r="F811" s="8"/>
    </x:row>
    <x:row r="812" ht="25" customHeight="1">
      <x:c r="A812" s="13" t="str">
        <x:v>☐</x:v>
      </x:c>
      <x:c r="B812" s="11" t="n">
        <x:v>811</x:v>
      </x:c>
      <x:c r="C812" s="15" t="e">
        <x:f>HYPERLINK("https://pokecottage.com/pokemon-master-sets/thwackey","Thwackey")</x:f>
        <x:v>HYPERLINK is not implemented. linkLocation=https://pokecottage.com/pokemon-master-sets/thwackey, friendlyName=Thwackey</x:v>
      </x:c>
      <x:c r="D812" s="7" t="str">
        <x:v>Gen 8 • Galar</x:v>
      </x:c>
      <x:c r="E812" s="7"/>
      <x:c r="F812" s="7"/>
    </x:row>
    <x:row r="813" ht="25" customHeight="1">
      <x:c r="A813" s="14" t="str">
        <x:v>☐</x:v>
      </x:c>
      <x:c r="B813" s="12" t="n">
        <x:v>812</x:v>
      </x:c>
      <x:c r="C813" s="16" t="e">
        <x:f>HYPERLINK("https://pokecottage.com/pokemon-master-sets/rillaboom","Rillaboom")</x:f>
        <x:v>HYPERLINK is not implemented. linkLocation=https://pokecottage.com/pokemon-master-sets/rillaboom, friendlyName=Rillaboom</x:v>
      </x:c>
      <x:c r="D813" s="8" t="str">
        <x:v>Gen 8 • Galar</x:v>
      </x:c>
      <x:c r="E813" s="8"/>
      <x:c r="F813" s="8"/>
    </x:row>
    <x:row r="814" ht="25" customHeight="1">
      <x:c r="A814" s="13" t="str">
        <x:v>☐</x:v>
      </x:c>
      <x:c r="B814" s="11" t="n">
        <x:v>813</x:v>
      </x:c>
      <x:c r="C814" s="15" t="e">
        <x:f>HYPERLINK("https://pokecottage.com/pokemon-master-sets/scorbunny","Scorbunny")</x:f>
        <x:v>HYPERLINK is not implemented. linkLocation=https://pokecottage.com/pokemon-master-sets/scorbunny, friendlyName=Scorbunny</x:v>
      </x:c>
      <x:c r="D814" s="7" t="str">
        <x:v>Gen 8 • Galar</x:v>
      </x:c>
      <x:c r="E814" s="7"/>
      <x:c r="F814" s="7"/>
    </x:row>
    <x:row r="815" ht="25" customHeight="1">
      <x:c r="A815" s="14" t="str">
        <x:v>☐</x:v>
      </x:c>
      <x:c r="B815" s="12" t="n">
        <x:v>814</x:v>
      </x:c>
      <x:c r="C815" s="16" t="e">
        <x:f>HYPERLINK("https://pokecottage.com/pokemon-master-sets/raboot","Raboot")</x:f>
        <x:v>HYPERLINK is not implemented. linkLocation=https://pokecottage.com/pokemon-master-sets/raboot, friendlyName=Raboot</x:v>
      </x:c>
      <x:c r="D815" s="8" t="str">
        <x:v>Gen 8 • Galar</x:v>
      </x:c>
      <x:c r="E815" s="8"/>
      <x:c r="F815" s="8"/>
    </x:row>
    <x:row r="816" ht="25" customHeight="1">
      <x:c r="A816" s="13" t="str">
        <x:v>☐</x:v>
      </x:c>
      <x:c r="B816" s="11" t="n">
        <x:v>815</x:v>
      </x:c>
      <x:c r="C816" s="15" t="e">
        <x:f>HYPERLINK("https://pokecottage.com/pokemon-master-sets/cinderace","Cinderace")</x:f>
        <x:v>HYPERLINK is not implemented. linkLocation=https://pokecottage.com/pokemon-master-sets/cinderace, friendlyName=Cinderace</x:v>
      </x:c>
      <x:c r="D816" s="7" t="str">
        <x:v>Gen 8 • Galar</x:v>
      </x:c>
      <x:c r="E816" s="7"/>
      <x:c r="F816" s="7"/>
    </x:row>
    <x:row r="817" ht="25" customHeight="1">
      <x:c r="A817" s="14" t="str">
        <x:v>☐</x:v>
      </x:c>
      <x:c r="B817" s="12" t="n">
        <x:v>816</x:v>
      </x:c>
      <x:c r="C817" s="16" t="e">
        <x:f>HYPERLINK("https://pokecottage.com/pokemon-master-sets/sobble","Sobble")</x:f>
        <x:v>HYPERLINK is not implemented. linkLocation=https://pokecottage.com/pokemon-master-sets/sobble, friendlyName=Sobble</x:v>
      </x:c>
      <x:c r="D817" s="8" t="str">
        <x:v>Gen 8 • Galar</x:v>
      </x:c>
      <x:c r="E817" s="8"/>
      <x:c r="F817" s="8"/>
    </x:row>
    <x:row r="818" ht="25" customHeight="1">
      <x:c r="A818" s="13" t="str">
        <x:v>☐</x:v>
      </x:c>
      <x:c r="B818" s="11" t="n">
        <x:v>817</x:v>
      </x:c>
      <x:c r="C818" s="15" t="e">
        <x:f>HYPERLINK("https://pokecottage.com/pokemon-master-sets/drizzile","Drizzile")</x:f>
        <x:v>HYPERLINK is not implemented. linkLocation=https://pokecottage.com/pokemon-master-sets/drizzile, friendlyName=Drizzile</x:v>
      </x:c>
      <x:c r="D818" s="7" t="str">
        <x:v>Gen 8 • Galar</x:v>
      </x:c>
      <x:c r="E818" s="7"/>
      <x:c r="F818" s="7"/>
    </x:row>
    <x:row r="819" ht="25" customHeight="1">
      <x:c r="A819" s="14" t="str">
        <x:v>☐</x:v>
      </x:c>
      <x:c r="B819" s="12" t="n">
        <x:v>818</x:v>
      </x:c>
      <x:c r="C819" s="16" t="e">
        <x:f>HYPERLINK("https://pokecottage.com/pokemon-master-sets/inteleon","Inteleon")</x:f>
        <x:v>HYPERLINK is not implemented. linkLocation=https://pokecottage.com/pokemon-master-sets/inteleon, friendlyName=Inteleon</x:v>
      </x:c>
      <x:c r="D819" s="8" t="str">
        <x:v>Gen 8 • Galar</x:v>
      </x:c>
      <x:c r="E819" s="8"/>
      <x:c r="F819" s="8"/>
    </x:row>
    <x:row r="820" ht="25" customHeight="1">
      <x:c r="A820" s="13" t="str">
        <x:v>☐</x:v>
      </x:c>
      <x:c r="B820" s="11" t="n">
        <x:v>819</x:v>
      </x:c>
      <x:c r="C820" s="15" t="e">
        <x:f>HYPERLINK("https://pokecottage.com/pokemon-master-sets/skwovet","Skwovet")</x:f>
        <x:v>HYPERLINK is not implemented. linkLocation=https://pokecottage.com/pokemon-master-sets/skwovet, friendlyName=Skwovet</x:v>
      </x:c>
      <x:c r="D820" s="7" t="str">
        <x:v>Gen 8 • Galar</x:v>
      </x:c>
      <x:c r="E820" s="7"/>
      <x:c r="F820" s="7"/>
    </x:row>
    <x:row r="821" ht="25" customHeight="1">
      <x:c r="A821" s="14" t="str">
        <x:v>☐</x:v>
      </x:c>
      <x:c r="B821" s="12" t="n">
        <x:v>820</x:v>
      </x:c>
      <x:c r="C821" s="16" t="e">
        <x:f>HYPERLINK("https://pokecottage.com/pokemon-master-sets/greedent","Greedent")</x:f>
        <x:v>HYPERLINK is not implemented. linkLocation=https://pokecottage.com/pokemon-master-sets/greedent, friendlyName=Greedent</x:v>
      </x:c>
      <x:c r="D821" s="8" t="str">
        <x:v>Gen 8 • Galar</x:v>
      </x:c>
      <x:c r="E821" s="8"/>
      <x:c r="F821" s="8"/>
    </x:row>
    <x:row r="822" ht="25" customHeight="1">
      <x:c r="A822" s="13" t="str">
        <x:v>☐</x:v>
      </x:c>
      <x:c r="B822" s="11" t="n">
        <x:v>821</x:v>
      </x:c>
      <x:c r="C822" s="15" t="e">
        <x:f>HYPERLINK("https://pokecottage.com/pokemon-master-sets/rookidee","Rookidee")</x:f>
        <x:v>HYPERLINK is not implemented. linkLocation=https://pokecottage.com/pokemon-master-sets/rookidee, friendlyName=Rookidee</x:v>
      </x:c>
      <x:c r="D822" s="7" t="str">
        <x:v>Gen 8 • Galar</x:v>
      </x:c>
      <x:c r="E822" s="7"/>
      <x:c r="F822" s="7"/>
    </x:row>
    <x:row r="823" ht="25" customHeight="1">
      <x:c r="A823" s="14" t="str">
        <x:v>☐</x:v>
      </x:c>
      <x:c r="B823" s="12" t="n">
        <x:v>822</x:v>
      </x:c>
      <x:c r="C823" s="16" t="e">
        <x:f>HYPERLINK("https://pokecottage.com/pokemon-master-sets/corvisquire","Corvisquire")</x:f>
        <x:v>HYPERLINK is not implemented. linkLocation=https://pokecottage.com/pokemon-master-sets/corvisquire, friendlyName=Corvisquire</x:v>
      </x:c>
      <x:c r="D823" s="8" t="str">
        <x:v>Gen 8 • Galar</x:v>
      </x:c>
      <x:c r="E823" s="8"/>
      <x:c r="F823" s="8"/>
    </x:row>
    <x:row r="824" ht="25" customHeight="1">
      <x:c r="A824" s="13" t="str">
        <x:v>☐</x:v>
      </x:c>
      <x:c r="B824" s="11" t="n">
        <x:v>823</x:v>
      </x:c>
      <x:c r="C824" s="15" t="e">
        <x:f>HYPERLINK("https://pokecottage.com/pokemon-master-sets/corviknight","Corviknight")</x:f>
        <x:v>HYPERLINK is not implemented. linkLocation=https://pokecottage.com/pokemon-master-sets/corviknight, friendlyName=Corviknight</x:v>
      </x:c>
      <x:c r="D824" s="7" t="str">
        <x:v>Gen 8 • Galar</x:v>
      </x:c>
      <x:c r="E824" s="7"/>
      <x:c r="F824" s="7"/>
    </x:row>
    <x:row r="825" ht="25" customHeight="1">
      <x:c r="A825" s="14" t="str">
        <x:v>☐</x:v>
      </x:c>
      <x:c r="B825" s="12" t="n">
        <x:v>824</x:v>
      </x:c>
      <x:c r="C825" s="16" t="e">
        <x:f>HYPERLINK("https://pokecottage.com/pokemon-master-sets/blipbug","Blipbug")</x:f>
        <x:v>HYPERLINK is not implemented. linkLocation=https://pokecottage.com/pokemon-master-sets/blipbug, friendlyName=Blipbug</x:v>
      </x:c>
      <x:c r="D825" s="8" t="str">
        <x:v>Gen 8 • Galar</x:v>
      </x:c>
      <x:c r="E825" s="8"/>
      <x:c r="F825" s="8"/>
    </x:row>
    <x:row r="826" ht="25" customHeight="1">
      <x:c r="A826" s="13" t="str">
        <x:v>☐</x:v>
      </x:c>
      <x:c r="B826" s="11" t="n">
        <x:v>825</x:v>
      </x:c>
      <x:c r="C826" s="15" t="e">
        <x:f>HYPERLINK("https://pokecottage.com/pokemon-master-sets/dottler","Dottler")</x:f>
        <x:v>HYPERLINK is not implemented. linkLocation=https://pokecottage.com/pokemon-master-sets/dottler, friendlyName=Dottler</x:v>
      </x:c>
      <x:c r="D826" s="7" t="str">
        <x:v>Gen 8 • Galar</x:v>
      </x:c>
      <x:c r="E826" s="7"/>
      <x:c r="F826" s="7"/>
    </x:row>
    <x:row r="827" ht="25" customHeight="1">
      <x:c r="A827" s="14" t="str">
        <x:v>☐</x:v>
      </x:c>
      <x:c r="B827" s="12" t="n">
        <x:v>826</x:v>
      </x:c>
      <x:c r="C827" s="16" t="e">
        <x:f>HYPERLINK("https://pokecottage.com/pokemon-master-sets/orbeetle","Orbeetle")</x:f>
        <x:v>HYPERLINK is not implemented. linkLocation=https://pokecottage.com/pokemon-master-sets/orbeetle, friendlyName=Orbeetle</x:v>
      </x:c>
      <x:c r="D827" s="8" t="str">
        <x:v>Gen 8 • Galar</x:v>
      </x:c>
      <x:c r="E827" s="8"/>
      <x:c r="F827" s="8"/>
    </x:row>
    <x:row r="828" ht="25" customHeight="1">
      <x:c r="A828" s="13" t="str">
        <x:v>☐</x:v>
      </x:c>
      <x:c r="B828" s="11" t="n">
        <x:v>827</x:v>
      </x:c>
      <x:c r="C828" s="15" t="e">
        <x:f>HYPERLINK("https://pokecottage.com/pokemon-master-sets/nickit","Nickit")</x:f>
        <x:v>HYPERLINK is not implemented. linkLocation=https://pokecottage.com/pokemon-master-sets/nickit, friendlyName=Nickit</x:v>
      </x:c>
      <x:c r="D828" s="7" t="str">
        <x:v>Gen 8 • Galar</x:v>
      </x:c>
      <x:c r="E828" s="7"/>
      <x:c r="F828" s="7"/>
    </x:row>
    <x:row r="829" ht="25" customHeight="1">
      <x:c r="A829" s="14" t="str">
        <x:v>☐</x:v>
      </x:c>
      <x:c r="B829" s="12" t="n">
        <x:v>828</x:v>
      </x:c>
      <x:c r="C829" s="16" t="e">
        <x:f>HYPERLINK("https://pokecottage.com/pokemon-master-sets/thievul","Thievul")</x:f>
        <x:v>HYPERLINK is not implemented. linkLocation=https://pokecottage.com/pokemon-master-sets/thievul, friendlyName=Thievul</x:v>
      </x:c>
      <x:c r="D829" s="8" t="str">
        <x:v>Gen 8 • Galar</x:v>
      </x:c>
      <x:c r="E829" s="8"/>
      <x:c r="F829" s="8"/>
    </x:row>
    <x:row r="830" ht="25" customHeight="1">
      <x:c r="A830" s="13" t="str">
        <x:v>☐</x:v>
      </x:c>
      <x:c r="B830" s="11" t="n">
        <x:v>829</x:v>
      </x:c>
      <x:c r="C830" s="15" t="e">
        <x:f>HYPERLINK("https://pokecottage.com/pokemon-master-sets/gossifleur","Gossifleur")</x:f>
        <x:v>HYPERLINK is not implemented. linkLocation=https://pokecottage.com/pokemon-master-sets/gossifleur, friendlyName=Gossifleur</x:v>
      </x:c>
      <x:c r="D830" s="7" t="str">
        <x:v>Gen 8 • Galar</x:v>
      </x:c>
      <x:c r="E830" s="7"/>
      <x:c r="F830" s="7"/>
    </x:row>
    <x:row r="831" ht="25" customHeight="1">
      <x:c r="A831" s="14" t="str">
        <x:v>☐</x:v>
      </x:c>
      <x:c r="B831" s="12" t="n">
        <x:v>830</x:v>
      </x:c>
      <x:c r="C831" s="16" t="e">
        <x:f>HYPERLINK("https://pokecottage.com/pokemon-master-sets/eldegoss","Eldegoss")</x:f>
        <x:v>HYPERLINK is not implemented. linkLocation=https://pokecottage.com/pokemon-master-sets/eldegoss, friendlyName=Eldegoss</x:v>
      </x:c>
      <x:c r="D831" s="8" t="str">
        <x:v>Gen 8 • Galar</x:v>
      </x:c>
      <x:c r="E831" s="8"/>
      <x:c r="F831" s="8"/>
    </x:row>
    <x:row r="832" ht="25" customHeight="1">
      <x:c r="A832" s="13" t="str">
        <x:v>☐</x:v>
      </x:c>
      <x:c r="B832" s="11" t="n">
        <x:v>831</x:v>
      </x:c>
      <x:c r="C832" s="15" t="e">
        <x:f>HYPERLINK("https://pokecottage.com/pokemon-master-sets/wooloo","Wooloo")</x:f>
        <x:v>HYPERLINK is not implemented. linkLocation=https://pokecottage.com/pokemon-master-sets/wooloo, friendlyName=Wooloo</x:v>
      </x:c>
      <x:c r="D832" s="7" t="str">
        <x:v>Gen 8 • Galar</x:v>
      </x:c>
      <x:c r="E832" s="7"/>
      <x:c r="F832" s="7"/>
    </x:row>
    <x:row r="833" ht="25" customHeight="1">
      <x:c r="A833" s="14" t="str">
        <x:v>☐</x:v>
      </x:c>
      <x:c r="B833" s="12" t="n">
        <x:v>832</x:v>
      </x:c>
      <x:c r="C833" s="16" t="e">
        <x:f>HYPERLINK("https://pokecottage.com/pokemon-master-sets/dubwool","Dubwool")</x:f>
        <x:v>HYPERLINK is not implemented. linkLocation=https://pokecottage.com/pokemon-master-sets/dubwool, friendlyName=Dubwool</x:v>
      </x:c>
      <x:c r="D833" s="8" t="str">
        <x:v>Gen 8 • Galar</x:v>
      </x:c>
      <x:c r="E833" s="8"/>
      <x:c r="F833" s="8"/>
    </x:row>
    <x:row r="834" ht="25" customHeight="1">
      <x:c r="A834" s="13" t="str">
        <x:v>☐</x:v>
      </x:c>
      <x:c r="B834" s="11" t="n">
        <x:v>833</x:v>
      </x:c>
      <x:c r="C834" s="15" t="e">
        <x:f>HYPERLINK("https://pokecottage.com/pokemon-master-sets/chewtle","Chewtle")</x:f>
        <x:v>HYPERLINK is not implemented. linkLocation=https://pokecottage.com/pokemon-master-sets/chewtle, friendlyName=Chewtle</x:v>
      </x:c>
      <x:c r="D834" s="7" t="str">
        <x:v>Gen 8 • Galar</x:v>
      </x:c>
      <x:c r="E834" s="7"/>
      <x:c r="F834" s="7"/>
    </x:row>
    <x:row r="835" ht="25" customHeight="1">
      <x:c r="A835" s="14" t="str">
        <x:v>☐</x:v>
      </x:c>
      <x:c r="B835" s="12" t="n">
        <x:v>834</x:v>
      </x:c>
      <x:c r="C835" s="16" t="e">
        <x:f>HYPERLINK("https://pokecottage.com/pokemon-master-sets/drednaw","Drednaw")</x:f>
        <x:v>HYPERLINK is not implemented. linkLocation=https://pokecottage.com/pokemon-master-sets/drednaw, friendlyName=Drednaw</x:v>
      </x:c>
      <x:c r="D835" s="8" t="str">
        <x:v>Gen 8 • Galar</x:v>
      </x:c>
      <x:c r="E835" s="8"/>
      <x:c r="F835" s="8"/>
    </x:row>
    <x:row r="836" ht="25" customHeight="1">
      <x:c r="A836" s="13" t="str">
        <x:v>☐</x:v>
      </x:c>
      <x:c r="B836" s="11" t="n">
        <x:v>835</x:v>
      </x:c>
      <x:c r="C836" s="15" t="e">
        <x:f>HYPERLINK("https://pokecottage.com/pokemon-master-sets/yamper","Yamper")</x:f>
        <x:v>HYPERLINK is not implemented. linkLocation=https://pokecottage.com/pokemon-master-sets/yamper, friendlyName=Yamper</x:v>
      </x:c>
      <x:c r="D836" s="7" t="str">
        <x:v>Gen 8 • Galar</x:v>
      </x:c>
      <x:c r="E836" s="7"/>
      <x:c r="F836" s="7"/>
    </x:row>
    <x:row r="837" ht="25" customHeight="1">
      <x:c r="A837" s="14" t="str">
        <x:v>☐</x:v>
      </x:c>
      <x:c r="B837" s="12" t="n">
        <x:v>836</x:v>
      </x:c>
      <x:c r="C837" s="16" t="e">
        <x:f>HYPERLINK("https://pokecottage.com/pokemon-master-sets/boltund","Boltund")</x:f>
        <x:v>HYPERLINK is not implemented. linkLocation=https://pokecottage.com/pokemon-master-sets/boltund, friendlyName=Boltund</x:v>
      </x:c>
      <x:c r="D837" s="8" t="str">
        <x:v>Gen 8 • Galar</x:v>
      </x:c>
      <x:c r="E837" s="8"/>
      <x:c r="F837" s="8"/>
    </x:row>
    <x:row r="838" ht="25" customHeight="1">
      <x:c r="A838" s="13" t="str">
        <x:v>☐</x:v>
      </x:c>
      <x:c r="B838" s="11" t="n">
        <x:v>837</x:v>
      </x:c>
      <x:c r="C838" s="15" t="e">
        <x:f>HYPERLINK("https://pokecottage.com/pokemon-master-sets/rolycoly","Rolycoly")</x:f>
        <x:v>HYPERLINK is not implemented. linkLocation=https://pokecottage.com/pokemon-master-sets/rolycoly, friendlyName=Rolycoly</x:v>
      </x:c>
      <x:c r="D838" s="7" t="str">
        <x:v>Gen 8 • Galar</x:v>
      </x:c>
      <x:c r="E838" s="7"/>
      <x:c r="F838" s="7"/>
    </x:row>
    <x:row r="839" ht="25" customHeight="1">
      <x:c r="A839" s="14" t="str">
        <x:v>☐</x:v>
      </x:c>
      <x:c r="B839" s="12" t="n">
        <x:v>838</x:v>
      </x:c>
      <x:c r="C839" s="16" t="e">
        <x:f>HYPERLINK("https://pokecottage.com/pokemon-master-sets/carkol","Carkol")</x:f>
        <x:v>HYPERLINK is not implemented. linkLocation=https://pokecottage.com/pokemon-master-sets/carkol, friendlyName=Carkol</x:v>
      </x:c>
      <x:c r="D839" s="8" t="str">
        <x:v>Gen 8 • Galar</x:v>
      </x:c>
      <x:c r="E839" s="8"/>
      <x:c r="F839" s="8"/>
    </x:row>
    <x:row r="840" ht="25" customHeight="1">
      <x:c r="A840" s="13" t="str">
        <x:v>☐</x:v>
      </x:c>
      <x:c r="B840" s="11" t="n">
        <x:v>839</x:v>
      </x:c>
      <x:c r="C840" s="15" t="e">
        <x:f>HYPERLINK("https://pokecottage.com/pokemon-master-sets/coalossal","Coalossal")</x:f>
        <x:v>HYPERLINK is not implemented. linkLocation=https://pokecottage.com/pokemon-master-sets/coalossal, friendlyName=Coalossal</x:v>
      </x:c>
      <x:c r="D840" s="7" t="str">
        <x:v>Gen 8 • Galar</x:v>
      </x:c>
      <x:c r="E840" s="7"/>
      <x:c r="F840" s="7"/>
    </x:row>
    <x:row r="841" ht="25" customHeight="1">
      <x:c r="A841" s="14" t="str">
        <x:v>☐</x:v>
      </x:c>
      <x:c r="B841" s="12" t="n">
        <x:v>840</x:v>
      </x:c>
      <x:c r="C841" s="16" t="e">
        <x:f>HYPERLINK("https://pokecottage.com/pokemon-master-sets/applin","Applin")</x:f>
        <x:v>HYPERLINK is not implemented. linkLocation=https://pokecottage.com/pokemon-master-sets/applin, friendlyName=Applin</x:v>
      </x:c>
      <x:c r="D841" s="8" t="str">
        <x:v>Gen 8 • Galar</x:v>
      </x:c>
      <x:c r="E841" s="8"/>
      <x:c r="F841" s="8"/>
    </x:row>
    <x:row r="842" ht="25" customHeight="1">
      <x:c r="A842" s="13" t="str">
        <x:v>☐</x:v>
      </x:c>
      <x:c r="B842" s="11" t="n">
        <x:v>841</x:v>
      </x:c>
      <x:c r="C842" s="15" t="e">
        <x:f>HYPERLINK("https://pokecottage.com/pokemon-master-sets/flapple","Flapple")</x:f>
        <x:v>HYPERLINK is not implemented. linkLocation=https://pokecottage.com/pokemon-master-sets/flapple, friendlyName=Flapple</x:v>
      </x:c>
      <x:c r="D842" s="7" t="str">
        <x:v>Gen 8 • Galar</x:v>
      </x:c>
      <x:c r="E842" s="7"/>
      <x:c r="F842" s="7"/>
    </x:row>
    <x:row r="843" ht="25" customHeight="1">
      <x:c r="A843" s="14" t="str">
        <x:v>☐</x:v>
      </x:c>
      <x:c r="B843" s="12" t="n">
        <x:v>842</x:v>
      </x:c>
      <x:c r="C843" s="16" t="e">
        <x:f>HYPERLINK("https://pokecottage.com/pokemon-master-sets/appletun","Appletun")</x:f>
        <x:v>HYPERLINK is not implemented. linkLocation=https://pokecottage.com/pokemon-master-sets/appletun, friendlyName=Appletun</x:v>
      </x:c>
      <x:c r="D843" s="8" t="str">
        <x:v>Gen 8 • Galar</x:v>
      </x:c>
      <x:c r="E843" s="8"/>
      <x:c r="F843" s="8"/>
    </x:row>
    <x:row r="844" ht="25" customHeight="1">
      <x:c r="A844" s="13" t="str">
        <x:v>☐</x:v>
      </x:c>
      <x:c r="B844" s="11" t="n">
        <x:v>843</x:v>
      </x:c>
      <x:c r="C844" s="15" t="e">
        <x:f>HYPERLINK("https://pokecottage.com/pokemon-master-sets/silicobra","Silicobra")</x:f>
        <x:v>HYPERLINK is not implemented. linkLocation=https://pokecottage.com/pokemon-master-sets/silicobra, friendlyName=Silicobra</x:v>
      </x:c>
      <x:c r="D844" s="7" t="str">
        <x:v>Gen 8 • Galar</x:v>
      </x:c>
      <x:c r="E844" s="7"/>
      <x:c r="F844" s="7"/>
    </x:row>
    <x:row r="845" ht="25" customHeight="1">
      <x:c r="A845" s="14" t="str">
        <x:v>☐</x:v>
      </x:c>
      <x:c r="B845" s="12" t="n">
        <x:v>844</x:v>
      </x:c>
      <x:c r="C845" s="16" t="e">
        <x:f>HYPERLINK("https://pokecottage.com/pokemon-master-sets/sandaconda","Sandaconda")</x:f>
        <x:v>HYPERLINK is not implemented. linkLocation=https://pokecottage.com/pokemon-master-sets/sandaconda, friendlyName=Sandaconda</x:v>
      </x:c>
      <x:c r="D845" s="8" t="str">
        <x:v>Gen 8 • Galar</x:v>
      </x:c>
      <x:c r="E845" s="8"/>
      <x:c r="F845" s="8"/>
    </x:row>
    <x:row r="846" ht="25" customHeight="1">
      <x:c r="A846" s="13" t="str">
        <x:v>☐</x:v>
      </x:c>
      <x:c r="B846" s="11" t="n">
        <x:v>845</x:v>
      </x:c>
      <x:c r="C846" s="15" t="e">
        <x:f>HYPERLINK("https://pokecottage.com/pokemon-master-sets/cramorant","Cramorant")</x:f>
        <x:v>HYPERLINK is not implemented. linkLocation=https://pokecottage.com/pokemon-master-sets/cramorant, friendlyName=Cramorant</x:v>
      </x:c>
      <x:c r="D846" s="7" t="str">
        <x:v>Gen 8 • Galar</x:v>
      </x:c>
      <x:c r="E846" s="7"/>
      <x:c r="F846" s="7"/>
    </x:row>
    <x:row r="847" ht="25" customHeight="1">
      <x:c r="A847" s="14" t="str">
        <x:v>☐</x:v>
      </x:c>
      <x:c r="B847" s="12" t="n">
        <x:v>846</x:v>
      </x:c>
      <x:c r="C847" s="16" t="e">
        <x:f>HYPERLINK("https://pokecottage.com/pokemon-master-sets/arrokuda","Arrokuda")</x:f>
        <x:v>HYPERLINK is not implemented. linkLocation=https://pokecottage.com/pokemon-master-sets/arrokuda, friendlyName=Arrokuda</x:v>
      </x:c>
      <x:c r="D847" s="8" t="str">
        <x:v>Gen 8 • Galar</x:v>
      </x:c>
      <x:c r="E847" s="8"/>
      <x:c r="F847" s="8"/>
    </x:row>
    <x:row r="848" ht="25" customHeight="1">
      <x:c r="A848" s="13" t="str">
        <x:v>☐</x:v>
      </x:c>
      <x:c r="B848" s="11" t="n">
        <x:v>847</x:v>
      </x:c>
      <x:c r="C848" s="15" t="e">
        <x:f>HYPERLINK("https://pokecottage.com/pokemon-master-sets/barraskewda","Barraskewda")</x:f>
        <x:v>HYPERLINK is not implemented. linkLocation=https://pokecottage.com/pokemon-master-sets/barraskewda, friendlyName=Barraskewda</x:v>
      </x:c>
      <x:c r="D848" s="7" t="str">
        <x:v>Gen 8 • Galar</x:v>
      </x:c>
      <x:c r="E848" s="7"/>
      <x:c r="F848" s="7"/>
    </x:row>
    <x:row r="849" ht="25" customHeight="1">
      <x:c r="A849" s="14" t="str">
        <x:v>☐</x:v>
      </x:c>
      <x:c r="B849" s="12" t="n">
        <x:v>848</x:v>
      </x:c>
      <x:c r="C849" s="16" t="e">
        <x:f>HYPERLINK("https://pokecottage.com/pokemon-master-sets/toxel","Toxel")</x:f>
        <x:v>HYPERLINK is not implemented. linkLocation=https://pokecottage.com/pokemon-master-sets/toxel, friendlyName=Toxel</x:v>
      </x:c>
      <x:c r="D849" s="8" t="str">
        <x:v>Gen 8 • Galar</x:v>
      </x:c>
      <x:c r="E849" s="8"/>
      <x:c r="F849" s="8"/>
    </x:row>
    <x:row r="850" ht="25" customHeight="1">
      <x:c r="A850" s="13" t="str">
        <x:v>☐</x:v>
      </x:c>
      <x:c r="B850" s="11" t="n">
        <x:v>849</x:v>
      </x:c>
      <x:c r="C850" s="15" t="e">
        <x:f>HYPERLINK("https://pokecottage.com/pokemon-master-sets/toxtricity","Toxtricity")</x:f>
        <x:v>HYPERLINK is not implemented. linkLocation=https://pokecottage.com/pokemon-master-sets/toxtricity, friendlyName=Toxtricity</x:v>
      </x:c>
      <x:c r="D850" s="7" t="str">
        <x:v>Gen 8 • Galar</x:v>
      </x:c>
      <x:c r="E850" s="7"/>
      <x:c r="F850" s="7"/>
    </x:row>
    <x:row r="851" ht="25" customHeight="1">
      <x:c r="A851" s="14" t="str">
        <x:v>☐</x:v>
      </x:c>
      <x:c r="B851" s="12" t="n">
        <x:v>850</x:v>
      </x:c>
      <x:c r="C851" s="16" t="e">
        <x:f>HYPERLINK("https://pokecottage.com/pokemon-master-sets/sizzlipede","Sizzlipede")</x:f>
        <x:v>HYPERLINK is not implemented. linkLocation=https://pokecottage.com/pokemon-master-sets/sizzlipede, friendlyName=Sizzlipede</x:v>
      </x:c>
      <x:c r="D851" s="8" t="str">
        <x:v>Gen 8 • Galar</x:v>
      </x:c>
      <x:c r="E851" s="8"/>
      <x:c r="F851" s="8"/>
    </x:row>
    <x:row r="852" ht="25" customHeight="1">
      <x:c r="A852" s="13" t="str">
        <x:v>☐</x:v>
      </x:c>
      <x:c r="B852" s="11" t="n">
        <x:v>851</x:v>
      </x:c>
      <x:c r="C852" s="15" t="e">
        <x:f>HYPERLINK("https://pokecottage.com/pokemon-master-sets/centiskorch","Centiskorch")</x:f>
        <x:v>HYPERLINK is not implemented. linkLocation=https://pokecottage.com/pokemon-master-sets/centiskorch, friendlyName=Centiskorch</x:v>
      </x:c>
      <x:c r="D852" s="7" t="str">
        <x:v>Gen 8 • Galar</x:v>
      </x:c>
      <x:c r="E852" s="7"/>
      <x:c r="F852" s="7"/>
    </x:row>
    <x:row r="853" ht="25" customHeight="1">
      <x:c r="A853" s="14" t="str">
        <x:v>☐</x:v>
      </x:c>
      <x:c r="B853" s="12" t="n">
        <x:v>852</x:v>
      </x:c>
      <x:c r="C853" s="16" t="e">
        <x:f>HYPERLINK("https://pokecottage.com/pokemon-master-sets/clobbopus","Clobbopus")</x:f>
        <x:v>HYPERLINK is not implemented. linkLocation=https://pokecottage.com/pokemon-master-sets/clobbopus, friendlyName=Clobbopus</x:v>
      </x:c>
      <x:c r="D853" s="8" t="str">
        <x:v>Gen 8 • Galar</x:v>
      </x:c>
      <x:c r="E853" s="8"/>
      <x:c r="F853" s="8"/>
    </x:row>
    <x:row r="854" ht="25" customHeight="1">
      <x:c r="A854" s="13" t="str">
        <x:v>☐</x:v>
      </x:c>
      <x:c r="B854" s="11" t="n">
        <x:v>853</x:v>
      </x:c>
      <x:c r="C854" s="15" t="e">
        <x:f>HYPERLINK("https://pokecottage.com/pokemon-master-sets/grapploct","Grapploct")</x:f>
        <x:v>HYPERLINK is not implemented. linkLocation=https://pokecottage.com/pokemon-master-sets/grapploct, friendlyName=Grapploct</x:v>
      </x:c>
      <x:c r="D854" s="7" t="str">
        <x:v>Gen 8 • Galar</x:v>
      </x:c>
      <x:c r="E854" s="7"/>
      <x:c r="F854" s="7"/>
    </x:row>
    <x:row r="855" ht="25" customHeight="1">
      <x:c r="A855" s="14" t="str">
        <x:v>☐</x:v>
      </x:c>
      <x:c r="B855" s="12" t="n">
        <x:v>854</x:v>
      </x:c>
      <x:c r="C855" s="16" t="e">
        <x:f>HYPERLINK("https://pokecottage.com/pokemon-master-sets/sinistea","Sinistea")</x:f>
        <x:v>HYPERLINK is not implemented. linkLocation=https://pokecottage.com/pokemon-master-sets/sinistea, friendlyName=Sinistea</x:v>
      </x:c>
      <x:c r="D855" s="8" t="str">
        <x:v>Gen 8 • Galar</x:v>
      </x:c>
      <x:c r="E855" s="8"/>
      <x:c r="F855" s="8"/>
    </x:row>
    <x:row r="856" ht="25" customHeight="1">
      <x:c r="A856" s="13" t="str">
        <x:v>☐</x:v>
      </x:c>
      <x:c r="B856" s="11" t="n">
        <x:v>855</x:v>
      </x:c>
      <x:c r="C856" s="15" t="e">
        <x:f>HYPERLINK("https://pokecottage.com/pokemon-master-sets/polteageist","Polteageist")</x:f>
        <x:v>HYPERLINK is not implemented. linkLocation=https://pokecottage.com/pokemon-master-sets/polteageist, friendlyName=Polteageist</x:v>
      </x:c>
      <x:c r="D856" s="7" t="str">
        <x:v>Gen 8 • Galar</x:v>
      </x:c>
      <x:c r="E856" s="7"/>
      <x:c r="F856" s="7"/>
    </x:row>
    <x:row r="857" ht="25" customHeight="1">
      <x:c r="A857" s="14" t="str">
        <x:v>☐</x:v>
      </x:c>
      <x:c r="B857" s="12" t="n">
        <x:v>856</x:v>
      </x:c>
      <x:c r="C857" s="16" t="e">
        <x:f>HYPERLINK("https://pokecottage.com/pokemon-master-sets/hatenna","Hatenna")</x:f>
        <x:v>HYPERLINK is not implemented. linkLocation=https://pokecottage.com/pokemon-master-sets/hatenna, friendlyName=Hatenna</x:v>
      </x:c>
      <x:c r="D857" s="8" t="str">
        <x:v>Gen 8 • Galar</x:v>
      </x:c>
      <x:c r="E857" s="8"/>
      <x:c r="F857" s="8"/>
    </x:row>
    <x:row r="858" ht="25" customHeight="1">
      <x:c r="A858" s="13" t="str">
        <x:v>☐</x:v>
      </x:c>
      <x:c r="B858" s="11" t="n">
        <x:v>857</x:v>
      </x:c>
      <x:c r="C858" s="15" t="e">
        <x:f>HYPERLINK("https://pokecottage.com/pokemon-master-sets/hattrem","Hattrem")</x:f>
        <x:v>HYPERLINK is not implemented. linkLocation=https://pokecottage.com/pokemon-master-sets/hattrem, friendlyName=Hattrem</x:v>
      </x:c>
      <x:c r="D858" s="7" t="str">
        <x:v>Gen 8 • Galar</x:v>
      </x:c>
      <x:c r="E858" s="7"/>
      <x:c r="F858" s="7"/>
    </x:row>
    <x:row r="859" ht="25" customHeight="1">
      <x:c r="A859" s="14" t="str">
        <x:v>☐</x:v>
      </x:c>
      <x:c r="B859" s="12" t="n">
        <x:v>858</x:v>
      </x:c>
      <x:c r="C859" s="16" t="e">
        <x:f>HYPERLINK("https://pokecottage.com/pokemon-master-sets/hatterene","Hatterene")</x:f>
        <x:v>HYPERLINK is not implemented. linkLocation=https://pokecottage.com/pokemon-master-sets/hatterene, friendlyName=Hatterene</x:v>
      </x:c>
      <x:c r="D859" s="8" t="str">
        <x:v>Gen 8 • Galar</x:v>
      </x:c>
      <x:c r="E859" s="8"/>
      <x:c r="F859" s="8"/>
    </x:row>
    <x:row r="860" ht="25" customHeight="1">
      <x:c r="A860" s="13" t="str">
        <x:v>☐</x:v>
      </x:c>
      <x:c r="B860" s="11" t="n">
        <x:v>859</x:v>
      </x:c>
      <x:c r="C860" s="15" t="e">
        <x:f>HYPERLINK("https://pokecottage.com/pokemon-master-sets/impidimp","Impidimp")</x:f>
        <x:v>HYPERLINK is not implemented. linkLocation=https://pokecottage.com/pokemon-master-sets/impidimp, friendlyName=Impidimp</x:v>
      </x:c>
      <x:c r="D860" s="7" t="str">
        <x:v>Gen 8 • Galar</x:v>
      </x:c>
      <x:c r="E860" s="7"/>
      <x:c r="F860" s="7"/>
    </x:row>
    <x:row r="861" ht="25" customHeight="1">
      <x:c r="A861" s="14" t="str">
        <x:v>☐</x:v>
      </x:c>
      <x:c r="B861" s="12" t="n">
        <x:v>860</x:v>
      </x:c>
      <x:c r="C861" s="16" t="e">
        <x:f>HYPERLINK("https://pokecottage.com/pokemon-master-sets/morgrem","Morgrem")</x:f>
        <x:v>HYPERLINK is not implemented. linkLocation=https://pokecottage.com/pokemon-master-sets/morgrem, friendlyName=Morgrem</x:v>
      </x:c>
      <x:c r="D861" s="8" t="str">
        <x:v>Gen 8 • Galar</x:v>
      </x:c>
      <x:c r="E861" s="8"/>
      <x:c r="F861" s="8"/>
    </x:row>
    <x:row r="862" ht="25" customHeight="1">
      <x:c r="A862" s="13" t="str">
        <x:v>☐</x:v>
      </x:c>
      <x:c r="B862" s="11" t="n">
        <x:v>861</x:v>
      </x:c>
      <x:c r="C862" s="15" t="e">
        <x:f>HYPERLINK("https://pokecottage.com/pokemon-master-sets/grimmsnarl","Grimmsnarl")</x:f>
        <x:v>HYPERLINK is not implemented. linkLocation=https://pokecottage.com/pokemon-master-sets/grimmsnarl, friendlyName=Grimmsnarl</x:v>
      </x:c>
      <x:c r="D862" s="7" t="str">
        <x:v>Gen 8 • Galar</x:v>
      </x:c>
      <x:c r="E862" s="7"/>
      <x:c r="F862" s="7"/>
    </x:row>
    <x:row r="863" ht="25" customHeight="1">
      <x:c r="A863" s="14" t="str">
        <x:v>☐</x:v>
      </x:c>
      <x:c r="B863" s="12" t="n">
        <x:v>862</x:v>
      </x:c>
      <x:c r="C863" s="16" t="e">
        <x:f>HYPERLINK("https://pokecottage.com/pokemon-master-sets/obstagoon","Obstagoon")</x:f>
        <x:v>HYPERLINK is not implemented. linkLocation=https://pokecottage.com/pokemon-master-sets/obstagoon, friendlyName=Obstagoon</x:v>
      </x:c>
      <x:c r="D863" s="8" t="str">
        <x:v>Gen 8 • Galar</x:v>
      </x:c>
      <x:c r="E863" s="8"/>
      <x:c r="F863" s="8"/>
    </x:row>
    <x:row r="864" ht="25" customHeight="1">
      <x:c r="A864" s="13" t="str">
        <x:v>☐</x:v>
      </x:c>
      <x:c r="B864" s="11" t="n">
        <x:v>863</x:v>
      </x:c>
      <x:c r="C864" s="15" t="e">
        <x:f>HYPERLINK("https://pokecottage.com/pokemon-master-sets/perrserker","Perrserker")</x:f>
        <x:v>HYPERLINK is not implemented. linkLocation=https://pokecottage.com/pokemon-master-sets/perrserker, friendlyName=Perrserker</x:v>
      </x:c>
      <x:c r="D864" s="7" t="str">
        <x:v>Gen 8 • Galar</x:v>
      </x:c>
      <x:c r="E864" s="7"/>
      <x:c r="F864" s="7"/>
    </x:row>
    <x:row r="865" ht="25" customHeight="1">
      <x:c r="A865" s="14" t="str">
        <x:v>☐</x:v>
      </x:c>
      <x:c r="B865" s="12" t="n">
        <x:v>864</x:v>
      </x:c>
      <x:c r="C865" s="16" t="e">
        <x:f>HYPERLINK("https://pokecottage.com/pokemon-master-sets/cursola","Cursola")</x:f>
        <x:v>HYPERLINK is not implemented. linkLocation=https://pokecottage.com/pokemon-master-sets/cursola, friendlyName=Cursola</x:v>
      </x:c>
      <x:c r="D865" s="8" t="str">
        <x:v>Gen 8 • Galar</x:v>
      </x:c>
      <x:c r="E865" s="8"/>
      <x:c r="F865" s="8"/>
    </x:row>
    <x:row r="866" ht="25" customHeight="1">
      <x:c r="A866" s="13" t="str">
        <x:v>☐</x:v>
      </x:c>
      <x:c r="B866" s="11" t="n">
        <x:v>865</x:v>
      </x:c>
      <x:c r="C866" s="15" t="e">
        <x:f>HYPERLINK("https://pokecottage.com/pokemon-master-sets/sirfetch-d","Sirfetch'd")</x:f>
        <x:v>HYPERLINK is not implemented. linkLocation=https://pokecottage.com/pokemon-master-sets/sirfetch-d, friendlyName=Sirfetch'd</x:v>
      </x:c>
      <x:c r="D866" s="7" t="str">
        <x:v>Gen 8 • Galar</x:v>
      </x:c>
      <x:c r="E866" s="7"/>
      <x:c r="F866" s="7"/>
    </x:row>
    <x:row r="867" ht="25" customHeight="1">
      <x:c r="A867" s="14" t="str">
        <x:v>☐</x:v>
      </x:c>
      <x:c r="B867" s="12" t="n">
        <x:v>866</x:v>
      </x:c>
      <x:c r="C867" s="16" t="e">
        <x:f>HYPERLINK("https://pokecottage.com/pokemon-master-sets/mr-rime","Mr. Rime")</x:f>
        <x:v>HYPERLINK is not implemented. linkLocation=https://pokecottage.com/pokemon-master-sets/mr-rime, friendlyName=Mr. Rime</x:v>
      </x:c>
      <x:c r="D867" s="8" t="str">
        <x:v>Gen 8 • Galar</x:v>
      </x:c>
      <x:c r="E867" s="8"/>
      <x:c r="F867" s="8"/>
    </x:row>
    <x:row r="868" ht="25" customHeight="1">
      <x:c r="A868" s="13" t="str">
        <x:v>☐</x:v>
      </x:c>
      <x:c r="B868" s="11" t="n">
        <x:v>867</x:v>
      </x:c>
      <x:c r="C868" s="15" t="e">
        <x:f>HYPERLINK("https://pokecottage.com/pokemon-master-sets/runerigus","Runerigus")</x:f>
        <x:v>HYPERLINK is not implemented. linkLocation=https://pokecottage.com/pokemon-master-sets/runerigus, friendlyName=Runerigus</x:v>
      </x:c>
      <x:c r="D868" s="7" t="str">
        <x:v>Gen 8 • Galar</x:v>
      </x:c>
      <x:c r="E868" s="7"/>
      <x:c r="F868" s="7"/>
    </x:row>
    <x:row r="869" ht="25" customHeight="1">
      <x:c r="A869" s="14" t="str">
        <x:v>☐</x:v>
      </x:c>
      <x:c r="B869" s="12" t="n">
        <x:v>868</x:v>
      </x:c>
      <x:c r="C869" s="16" t="e">
        <x:f>HYPERLINK("https://pokecottage.com/pokemon-master-sets/milcery","Milcery")</x:f>
        <x:v>HYPERLINK is not implemented. linkLocation=https://pokecottage.com/pokemon-master-sets/milcery, friendlyName=Milcery</x:v>
      </x:c>
      <x:c r="D869" s="8" t="str">
        <x:v>Gen 8 • Galar</x:v>
      </x:c>
      <x:c r="E869" s="8"/>
      <x:c r="F869" s="8"/>
    </x:row>
    <x:row r="870" ht="25" customHeight="1">
      <x:c r="A870" s="13" t="str">
        <x:v>☐</x:v>
      </x:c>
      <x:c r="B870" s="11" t="n">
        <x:v>869</x:v>
      </x:c>
      <x:c r="C870" s="15" t="e">
        <x:f>HYPERLINK("https://pokecottage.com/pokemon-master-sets/alcremie","Alcremie")</x:f>
        <x:v>HYPERLINK is not implemented. linkLocation=https://pokecottage.com/pokemon-master-sets/alcremie, friendlyName=Alcremie</x:v>
      </x:c>
      <x:c r="D870" s="7" t="str">
        <x:v>Gen 8 • Galar</x:v>
      </x:c>
      <x:c r="E870" s="7"/>
      <x:c r="F870" s="7"/>
    </x:row>
    <x:row r="871" ht="25" customHeight="1">
      <x:c r="A871" s="14" t="str">
        <x:v>☐</x:v>
      </x:c>
      <x:c r="B871" s="12" t="n">
        <x:v>870</x:v>
      </x:c>
      <x:c r="C871" s="16" t="e">
        <x:f>HYPERLINK("https://pokecottage.com/pokemon-master-sets/falinks","Falinks")</x:f>
        <x:v>HYPERLINK is not implemented. linkLocation=https://pokecottage.com/pokemon-master-sets/falinks, friendlyName=Falinks</x:v>
      </x:c>
      <x:c r="D871" s="8" t="str">
        <x:v>Gen 8 • Galar</x:v>
      </x:c>
      <x:c r="E871" s="8"/>
      <x:c r="F871" s="8"/>
    </x:row>
    <x:row r="872" ht="25" customHeight="1">
      <x:c r="A872" s="13" t="str">
        <x:v>☐</x:v>
      </x:c>
      <x:c r="B872" s="11" t="n">
        <x:v>871</x:v>
      </x:c>
      <x:c r="C872" s="15" t="e">
        <x:f>HYPERLINK("https://pokecottage.com/pokemon-master-sets/pincurchin","Pincurchin")</x:f>
        <x:v>HYPERLINK is not implemented. linkLocation=https://pokecottage.com/pokemon-master-sets/pincurchin, friendlyName=Pincurchin</x:v>
      </x:c>
      <x:c r="D872" s="7" t="str">
        <x:v>Gen 8 • Galar</x:v>
      </x:c>
      <x:c r="E872" s="7"/>
      <x:c r="F872" s="7"/>
    </x:row>
    <x:row r="873" ht="25" customHeight="1">
      <x:c r="A873" s="14" t="str">
        <x:v>☐</x:v>
      </x:c>
      <x:c r="B873" s="12" t="n">
        <x:v>872</x:v>
      </x:c>
      <x:c r="C873" s="16" t="e">
        <x:f>HYPERLINK("https://pokecottage.com/pokemon-master-sets/snom","Snom")</x:f>
        <x:v>HYPERLINK is not implemented. linkLocation=https://pokecottage.com/pokemon-master-sets/snom, friendlyName=Snom</x:v>
      </x:c>
      <x:c r="D873" s="8" t="str">
        <x:v>Gen 8 • Galar</x:v>
      </x:c>
      <x:c r="E873" s="8"/>
      <x:c r="F873" s="8"/>
    </x:row>
    <x:row r="874" ht="25" customHeight="1">
      <x:c r="A874" s="13" t="str">
        <x:v>☐</x:v>
      </x:c>
      <x:c r="B874" s="11" t="n">
        <x:v>873</x:v>
      </x:c>
      <x:c r="C874" s="15" t="e">
        <x:f>HYPERLINK("https://pokecottage.com/pokemon-master-sets/frosmoth","Frosmoth")</x:f>
        <x:v>HYPERLINK is not implemented. linkLocation=https://pokecottage.com/pokemon-master-sets/frosmoth, friendlyName=Frosmoth</x:v>
      </x:c>
      <x:c r="D874" s="7" t="str">
        <x:v>Gen 8 • Galar</x:v>
      </x:c>
      <x:c r="E874" s="7"/>
      <x:c r="F874" s="7"/>
    </x:row>
    <x:row r="875" ht="25" customHeight="1">
      <x:c r="A875" s="14" t="str">
        <x:v>☐</x:v>
      </x:c>
      <x:c r="B875" s="12" t="n">
        <x:v>874</x:v>
      </x:c>
      <x:c r="C875" s="16" t="e">
        <x:f>HYPERLINK("https://pokecottage.com/pokemon-master-sets/stonjourner","Stonjourner")</x:f>
        <x:v>HYPERLINK is not implemented. linkLocation=https://pokecottage.com/pokemon-master-sets/stonjourner, friendlyName=Stonjourner</x:v>
      </x:c>
      <x:c r="D875" s="8" t="str">
        <x:v>Gen 8 • Galar</x:v>
      </x:c>
      <x:c r="E875" s="8"/>
      <x:c r="F875" s="8"/>
    </x:row>
    <x:row r="876" ht="25" customHeight="1">
      <x:c r="A876" s="13" t="str">
        <x:v>☐</x:v>
      </x:c>
      <x:c r="B876" s="11" t="n">
        <x:v>875</x:v>
      </x:c>
      <x:c r="C876" s="15" t="e">
        <x:f>HYPERLINK("https://pokecottage.com/pokemon-master-sets/eiscue","Eiscue")</x:f>
        <x:v>HYPERLINK is not implemented. linkLocation=https://pokecottage.com/pokemon-master-sets/eiscue, friendlyName=Eiscue</x:v>
      </x:c>
      <x:c r="D876" s="7" t="str">
        <x:v>Gen 8 • Galar</x:v>
      </x:c>
      <x:c r="E876" s="7"/>
      <x:c r="F876" s="7"/>
    </x:row>
    <x:row r="877" ht="25" customHeight="1">
      <x:c r="A877" s="14" t="str">
        <x:v>☐</x:v>
      </x:c>
      <x:c r="B877" s="12" t="n">
        <x:v>876</x:v>
      </x:c>
      <x:c r="C877" s="16" t="e">
        <x:f>HYPERLINK("https://pokecottage.com/pokemon-master-sets/indeedee","Indeedee")</x:f>
        <x:v>HYPERLINK is not implemented. linkLocation=https://pokecottage.com/pokemon-master-sets/indeedee, friendlyName=Indeedee</x:v>
      </x:c>
      <x:c r="D877" s="8" t="str">
        <x:v>Gen 8 • Galar</x:v>
      </x:c>
      <x:c r="E877" s="8"/>
      <x:c r="F877" s="8"/>
    </x:row>
    <x:row r="878" ht="25" customHeight="1">
      <x:c r="A878" s="13" t="str">
        <x:v>☐</x:v>
      </x:c>
      <x:c r="B878" s="11" t="n">
        <x:v>877</x:v>
      </x:c>
      <x:c r="C878" s="15" t="e">
        <x:f>HYPERLINK("https://pokecottage.com/pokemon-master-sets/morpeko","Morpeko")</x:f>
        <x:v>HYPERLINK is not implemented. linkLocation=https://pokecottage.com/pokemon-master-sets/morpeko, friendlyName=Morpeko</x:v>
      </x:c>
      <x:c r="D878" s="7" t="str">
        <x:v>Gen 8 • Galar</x:v>
      </x:c>
      <x:c r="E878" s="7"/>
      <x:c r="F878" s="7"/>
    </x:row>
    <x:row r="879" ht="25" customHeight="1">
      <x:c r="A879" s="14" t="str">
        <x:v>☐</x:v>
      </x:c>
      <x:c r="B879" s="12" t="n">
        <x:v>878</x:v>
      </x:c>
      <x:c r="C879" s="16" t="e">
        <x:f>HYPERLINK("https://pokecottage.com/pokemon-master-sets/cufant","Cufant")</x:f>
        <x:v>HYPERLINK is not implemented. linkLocation=https://pokecottage.com/pokemon-master-sets/cufant, friendlyName=Cufant</x:v>
      </x:c>
      <x:c r="D879" s="8" t="str">
        <x:v>Gen 8 • Galar</x:v>
      </x:c>
      <x:c r="E879" s="8"/>
      <x:c r="F879" s="8"/>
    </x:row>
    <x:row r="880" ht="25" customHeight="1">
      <x:c r="A880" s="13" t="str">
        <x:v>☐</x:v>
      </x:c>
      <x:c r="B880" s="11" t="n">
        <x:v>879</x:v>
      </x:c>
      <x:c r="C880" s="15" t="e">
        <x:f>HYPERLINK("https://pokecottage.com/pokemon-master-sets/copperajah","Copperajah")</x:f>
        <x:v>HYPERLINK is not implemented. linkLocation=https://pokecottage.com/pokemon-master-sets/copperajah, friendlyName=Copperajah</x:v>
      </x:c>
      <x:c r="D880" s="7" t="str">
        <x:v>Gen 8 • Galar</x:v>
      </x:c>
      <x:c r="E880" s="7"/>
      <x:c r="F880" s="7"/>
    </x:row>
    <x:row r="881" ht="25" customHeight="1">
      <x:c r="A881" s="14" t="str">
        <x:v>☐</x:v>
      </x:c>
      <x:c r="B881" s="12" t="n">
        <x:v>880</x:v>
      </x:c>
      <x:c r="C881" s="16" t="e">
        <x:f>HYPERLINK("https://pokecottage.com/pokemon-master-sets/dracozolt","Dracozolt")</x:f>
        <x:v>HYPERLINK is not implemented. linkLocation=https://pokecottage.com/pokemon-master-sets/dracozolt, friendlyName=Dracozolt</x:v>
      </x:c>
      <x:c r="D881" s="8" t="str">
        <x:v>Gen 8 • Galar</x:v>
      </x:c>
      <x:c r="E881" s="8"/>
      <x:c r="F881" s="8"/>
    </x:row>
    <x:row r="882" ht="25" customHeight="1">
      <x:c r="A882" s="13" t="str">
        <x:v>☐</x:v>
      </x:c>
      <x:c r="B882" s="11" t="n">
        <x:v>881</x:v>
      </x:c>
      <x:c r="C882" s="15" t="e">
        <x:f>HYPERLINK("https://pokecottage.com/pokemon-master-sets/arctozolt","Arctozolt")</x:f>
        <x:v>HYPERLINK is not implemented. linkLocation=https://pokecottage.com/pokemon-master-sets/arctozolt, friendlyName=Arctozolt</x:v>
      </x:c>
      <x:c r="D882" s="7" t="str">
        <x:v>Gen 8 • Galar</x:v>
      </x:c>
      <x:c r="E882" s="7"/>
      <x:c r="F882" s="7"/>
    </x:row>
    <x:row r="883" ht="25" customHeight="1">
      <x:c r="A883" s="14" t="str">
        <x:v>☐</x:v>
      </x:c>
      <x:c r="B883" s="12" t="n">
        <x:v>882</x:v>
      </x:c>
      <x:c r="C883" s="16" t="e">
        <x:f>HYPERLINK("https://pokecottage.com/pokemon-master-sets/dracovish","Dracovish")</x:f>
        <x:v>HYPERLINK is not implemented. linkLocation=https://pokecottage.com/pokemon-master-sets/dracovish, friendlyName=Dracovish</x:v>
      </x:c>
      <x:c r="D883" s="8" t="str">
        <x:v>Gen 8 • Galar</x:v>
      </x:c>
      <x:c r="E883" s="8"/>
      <x:c r="F883" s="8"/>
    </x:row>
    <x:row r="884" ht="25" customHeight="1">
      <x:c r="A884" s="13" t="str">
        <x:v>☐</x:v>
      </x:c>
      <x:c r="B884" s="11" t="n">
        <x:v>883</x:v>
      </x:c>
      <x:c r="C884" s="15" t="e">
        <x:f>HYPERLINK("https://pokecottage.com/pokemon-master-sets/arctovish","Arctovish")</x:f>
        <x:v>HYPERLINK is not implemented. linkLocation=https://pokecottage.com/pokemon-master-sets/arctovish, friendlyName=Arctovish</x:v>
      </x:c>
      <x:c r="D884" s="7" t="str">
        <x:v>Gen 8 • Galar</x:v>
      </x:c>
      <x:c r="E884" s="7"/>
      <x:c r="F884" s="7"/>
    </x:row>
    <x:row r="885" ht="25" customHeight="1">
      <x:c r="A885" s="14" t="str">
        <x:v>☐</x:v>
      </x:c>
      <x:c r="B885" s="12" t="n">
        <x:v>884</x:v>
      </x:c>
      <x:c r="C885" s="16" t="e">
        <x:f>HYPERLINK("https://pokecottage.com/pokemon-master-sets/duraludon","Duraludon")</x:f>
        <x:v>HYPERLINK is not implemented. linkLocation=https://pokecottage.com/pokemon-master-sets/duraludon, friendlyName=Duraludon</x:v>
      </x:c>
      <x:c r="D885" s="8" t="str">
        <x:v>Gen 8 • Galar</x:v>
      </x:c>
      <x:c r="E885" s="8"/>
      <x:c r="F885" s="8"/>
    </x:row>
    <x:row r="886" ht="25" customHeight="1">
      <x:c r="A886" s="13" t="str">
        <x:v>☐</x:v>
      </x:c>
      <x:c r="B886" s="11" t="n">
        <x:v>885</x:v>
      </x:c>
      <x:c r="C886" s="15" t="e">
        <x:f>HYPERLINK("https://pokecottage.com/pokemon-master-sets/dreepy","Dreepy")</x:f>
        <x:v>HYPERLINK is not implemented. linkLocation=https://pokecottage.com/pokemon-master-sets/dreepy, friendlyName=Dreepy</x:v>
      </x:c>
      <x:c r="D886" s="7" t="str">
        <x:v>Gen 8 • Galar</x:v>
      </x:c>
      <x:c r="E886" s="7"/>
      <x:c r="F886" s="7"/>
    </x:row>
    <x:row r="887" ht="25" customHeight="1">
      <x:c r="A887" s="14" t="str">
        <x:v>☐</x:v>
      </x:c>
      <x:c r="B887" s="12" t="n">
        <x:v>886</x:v>
      </x:c>
      <x:c r="C887" s="16" t="e">
        <x:f>HYPERLINK("https://pokecottage.com/pokemon-master-sets/drakloak","Drakloak")</x:f>
        <x:v>HYPERLINK is not implemented. linkLocation=https://pokecottage.com/pokemon-master-sets/drakloak, friendlyName=Drakloak</x:v>
      </x:c>
      <x:c r="D887" s="8" t="str">
        <x:v>Gen 8 • Galar</x:v>
      </x:c>
      <x:c r="E887" s="8"/>
      <x:c r="F887" s="8"/>
    </x:row>
    <x:row r="888" ht="25" customHeight="1">
      <x:c r="A888" s="13" t="str">
        <x:v>☐</x:v>
      </x:c>
      <x:c r="B888" s="11" t="n">
        <x:v>887</x:v>
      </x:c>
      <x:c r="C888" s="15" t="e">
        <x:f>HYPERLINK("https://pokecottage.com/pokemon-master-sets/dragapult","Dragapult")</x:f>
        <x:v>HYPERLINK is not implemented. linkLocation=https://pokecottage.com/pokemon-master-sets/dragapult, friendlyName=Dragapult</x:v>
      </x:c>
      <x:c r="D888" s="7" t="str">
        <x:v>Gen 8 • Galar</x:v>
      </x:c>
      <x:c r="E888" s="7"/>
      <x:c r="F888" s="7"/>
    </x:row>
    <x:row r="889" ht="25" customHeight="1">
      <x:c r="A889" s="14" t="str">
        <x:v>☐</x:v>
      </x:c>
      <x:c r="B889" s="12" t="n">
        <x:v>888</x:v>
      </x:c>
      <x:c r="C889" s="16" t="e">
        <x:f>HYPERLINK("https://pokecottage.com/pokemon-master-sets/zacian","Zacian")</x:f>
        <x:v>HYPERLINK is not implemented. linkLocation=https://pokecottage.com/pokemon-master-sets/zacian, friendlyName=Zacian</x:v>
      </x:c>
      <x:c r="D889" s="8" t="str">
        <x:v>Gen 8 • Galar</x:v>
      </x:c>
      <x:c r="E889" s="8"/>
      <x:c r="F889" s="8"/>
    </x:row>
    <x:row r="890" ht="25" customHeight="1">
      <x:c r="A890" s="13" t="str">
        <x:v>☐</x:v>
      </x:c>
      <x:c r="B890" s="11" t="n">
        <x:v>889</x:v>
      </x:c>
      <x:c r="C890" s="15" t="e">
        <x:f>HYPERLINK("https://pokecottage.com/pokemon-master-sets/zamazenta","Zamazenta")</x:f>
        <x:v>HYPERLINK is not implemented. linkLocation=https://pokecottage.com/pokemon-master-sets/zamazenta, friendlyName=Zamazenta</x:v>
      </x:c>
      <x:c r="D890" s="7" t="str">
        <x:v>Gen 8 • Galar</x:v>
      </x:c>
      <x:c r="E890" s="7"/>
      <x:c r="F890" s="7"/>
    </x:row>
    <x:row r="891" ht="25" customHeight="1">
      <x:c r="A891" s="14" t="str">
        <x:v>☐</x:v>
      </x:c>
      <x:c r="B891" s="12" t="n">
        <x:v>890</x:v>
      </x:c>
      <x:c r="C891" s="16" t="e">
        <x:f>HYPERLINK("https://pokecottage.com/pokemon-master-sets/eternatus","Eternatus")</x:f>
        <x:v>HYPERLINK is not implemented. linkLocation=https://pokecottage.com/pokemon-master-sets/eternatus, friendlyName=Eternatus</x:v>
      </x:c>
      <x:c r="D891" s="8" t="str">
        <x:v>Gen 8 • Galar</x:v>
      </x:c>
      <x:c r="E891" s="8"/>
      <x:c r="F891" s="8"/>
    </x:row>
    <x:row r="892" ht="25" customHeight="1">
      <x:c r="A892" s="13" t="str">
        <x:v>☐</x:v>
      </x:c>
      <x:c r="B892" s="11" t="n">
        <x:v>891</x:v>
      </x:c>
      <x:c r="C892" s="15" t="e">
        <x:f>HYPERLINK("https://pokecottage.com/pokemon-master-sets/kubfu","Kubfu")</x:f>
        <x:v>HYPERLINK is not implemented. linkLocation=https://pokecottage.com/pokemon-master-sets/kubfu, friendlyName=Kubfu</x:v>
      </x:c>
      <x:c r="D892" s="7" t="str">
        <x:v>Gen 8 • Galar</x:v>
      </x:c>
      <x:c r="E892" s="7"/>
      <x:c r="F892" s="7"/>
    </x:row>
    <x:row r="893" ht="25" customHeight="1">
      <x:c r="A893" s="14" t="str">
        <x:v>☐</x:v>
      </x:c>
      <x:c r="B893" s="12" t="n">
        <x:v>892</x:v>
      </x:c>
      <x:c r="C893" s="16" t="e">
        <x:f>HYPERLINK("https://pokecottage.com/pokemon-master-sets/urshifu","Urshifu")</x:f>
        <x:v>HYPERLINK is not implemented. linkLocation=https://pokecottage.com/pokemon-master-sets/urshifu, friendlyName=Urshifu</x:v>
      </x:c>
      <x:c r="D893" s="8" t="str">
        <x:v>Gen 8 • Galar</x:v>
      </x:c>
      <x:c r="E893" s="8"/>
      <x:c r="F893" s="8"/>
    </x:row>
    <x:row r="894" ht="25" customHeight="1">
      <x:c r="A894" s="13" t="str">
        <x:v>☐</x:v>
      </x:c>
      <x:c r="B894" s="11" t="n">
        <x:v>893</x:v>
      </x:c>
      <x:c r="C894" s="15" t="e">
        <x:f>HYPERLINK("https://pokecottage.com/pokemon-master-sets/zarude","Zarude")</x:f>
        <x:v>HYPERLINK is not implemented. linkLocation=https://pokecottage.com/pokemon-master-sets/zarude, friendlyName=Zarude</x:v>
      </x:c>
      <x:c r="D894" s="7" t="str">
        <x:v>Gen 8 • Galar</x:v>
      </x:c>
      <x:c r="E894" s="7"/>
      <x:c r="F894" s="7"/>
    </x:row>
    <x:row r="895" ht="25" customHeight="1">
      <x:c r="A895" s="14" t="str">
        <x:v>☐</x:v>
      </x:c>
      <x:c r="B895" s="12" t="n">
        <x:v>894</x:v>
      </x:c>
      <x:c r="C895" s="16" t="e">
        <x:f>HYPERLINK("https://pokecottage.com/pokemon-master-sets/regieleki","Regieleki")</x:f>
        <x:v>HYPERLINK is not implemented. linkLocation=https://pokecottage.com/pokemon-master-sets/regieleki, friendlyName=Regieleki</x:v>
      </x:c>
      <x:c r="D895" s="8" t="str">
        <x:v>Gen 8 • Galar</x:v>
      </x:c>
      <x:c r="E895" s="8"/>
      <x:c r="F895" s="8"/>
    </x:row>
    <x:row r="896" ht="25" customHeight="1">
      <x:c r="A896" s="13" t="str">
        <x:v>☐</x:v>
      </x:c>
      <x:c r="B896" s="11" t="n">
        <x:v>895</x:v>
      </x:c>
      <x:c r="C896" s="15" t="e">
        <x:f>HYPERLINK("https://pokecottage.com/pokemon-master-sets/regidrago","Regidrago")</x:f>
        <x:v>HYPERLINK is not implemented. linkLocation=https://pokecottage.com/pokemon-master-sets/regidrago, friendlyName=Regidrago</x:v>
      </x:c>
      <x:c r="D896" s="7" t="str">
        <x:v>Gen 8 • Galar</x:v>
      </x:c>
      <x:c r="E896" s="7"/>
      <x:c r="F896" s="7"/>
    </x:row>
    <x:row r="897" ht="25" customHeight="1">
      <x:c r="A897" s="14" t="str">
        <x:v>☐</x:v>
      </x:c>
      <x:c r="B897" s="12" t="n">
        <x:v>896</x:v>
      </x:c>
      <x:c r="C897" s="16" t="e">
        <x:f>HYPERLINK("https://pokecottage.com/pokemon-master-sets/glastrier","Glastrier")</x:f>
        <x:v>HYPERLINK is not implemented. linkLocation=https://pokecottage.com/pokemon-master-sets/glastrier, friendlyName=Glastrier</x:v>
      </x:c>
      <x:c r="D897" s="8" t="str">
        <x:v>Gen 8 • Galar</x:v>
      </x:c>
      <x:c r="E897" s="8"/>
      <x:c r="F897" s="8"/>
    </x:row>
    <x:row r="898" ht="25" customHeight="1">
      <x:c r="A898" s="13" t="str">
        <x:v>☐</x:v>
      </x:c>
      <x:c r="B898" s="11" t="n">
        <x:v>897</x:v>
      </x:c>
      <x:c r="C898" s="15" t="e">
        <x:f>HYPERLINK("https://pokecottage.com/pokemon-master-sets/spectrier","Spectrier")</x:f>
        <x:v>HYPERLINK is not implemented. linkLocation=https://pokecottage.com/pokemon-master-sets/spectrier, friendlyName=Spectrier</x:v>
      </x:c>
      <x:c r="D898" s="7" t="str">
        <x:v>Gen 8 • Galar</x:v>
      </x:c>
      <x:c r="E898" s="7"/>
      <x:c r="F898" s="7"/>
    </x:row>
    <x:row r="899" ht="25" customHeight="1">
      <x:c r="A899" s="14" t="str">
        <x:v>☐</x:v>
      </x:c>
      <x:c r="B899" s="12" t="n">
        <x:v>898</x:v>
      </x:c>
      <x:c r="C899" s="16" t="e">
        <x:f>HYPERLINK("https://pokecottage.com/pokemon-master-sets/calyrex","Calyrex")</x:f>
        <x:v>HYPERLINK is not implemented. linkLocation=https://pokecottage.com/pokemon-master-sets/calyrex, friendlyName=Calyrex</x:v>
      </x:c>
      <x:c r="D899" s="8" t="str">
        <x:v>Gen 8 • Galar</x:v>
      </x:c>
      <x:c r="E899" s="8"/>
      <x:c r="F899" s="8"/>
    </x:row>
    <x:row r="900" ht="25" customHeight="1">
      <x:c r="A900" s="13" t="str">
        <x:v>☐</x:v>
      </x:c>
      <x:c r="B900" s="11" t="n">
        <x:v>899</x:v>
      </x:c>
      <x:c r="C900" s="15" t="e">
        <x:f>HYPERLINK("https://pokecottage.com/pokemon-master-sets/wyrdeer","Wyrdeer")</x:f>
        <x:v>HYPERLINK is not implemented. linkLocation=https://pokecottage.com/pokemon-master-sets/wyrdeer, friendlyName=Wyrdeer</x:v>
      </x:c>
      <x:c r="D900" s="7" t="str">
        <x:v>GEN 8 HISUI</x:v>
      </x:c>
      <x:c r="E900" s="7"/>
      <x:c r="F900" s="7"/>
    </x:row>
    <x:row r="901" ht="25" customHeight="1">
      <x:c r="A901" s="14" t="str">
        <x:v>☐</x:v>
      </x:c>
      <x:c r="B901" s="12" t="n">
        <x:v>900</x:v>
      </x:c>
      <x:c r="C901" s="16" t="e">
        <x:f>HYPERLINK("https://pokecottage.com/pokemon-master-sets/kleavor","Kleavor")</x:f>
        <x:v>HYPERLINK is not implemented. linkLocation=https://pokecottage.com/pokemon-master-sets/kleavor, friendlyName=Kleavor</x:v>
      </x:c>
      <x:c r="D901" s="8" t="str">
        <x:v>GEN 8 HISUI</x:v>
      </x:c>
      <x:c r="E901" s="8"/>
      <x:c r="F901" s="8"/>
    </x:row>
    <x:row r="902" ht="25" customHeight="1">
      <x:c r="A902" s="13" t="str">
        <x:v>☐</x:v>
      </x:c>
      <x:c r="B902" s="11" t="n">
        <x:v>901</x:v>
      </x:c>
      <x:c r="C902" s="15" t="e">
        <x:f>HYPERLINK("https://pokecottage.com/pokemon-master-sets/ursaluna","Ursaluna")</x:f>
        <x:v>HYPERLINK is not implemented. linkLocation=https://pokecottage.com/pokemon-master-sets/ursaluna, friendlyName=Ursaluna</x:v>
      </x:c>
      <x:c r="D902" s="7" t="str">
        <x:v>GEN 8 HISUI</x:v>
      </x:c>
      <x:c r="E902" s="7"/>
      <x:c r="F902" s="7"/>
    </x:row>
    <x:row r="903" ht="25" customHeight="1">
      <x:c r="A903" s="14" t="str">
        <x:v>☐</x:v>
      </x:c>
      <x:c r="B903" s="12" t="n">
        <x:v>902</x:v>
      </x:c>
      <x:c r="C903" s="16" t="e">
        <x:f>HYPERLINK("https://pokecottage.com/pokemon-master-sets/basculegion","Basculegion")</x:f>
        <x:v>HYPERLINK is not implemented. linkLocation=https://pokecottage.com/pokemon-master-sets/basculegion, friendlyName=Basculegion</x:v>
      </x:c>
      <x:c r="D903" s="8" t="str">
        <x:v>GEN 8 HISUI</x:v>
      </x:c>
      <x:c r="E903" s="8"/>
      <x:c r="F903" s="8"/>
    </x:row>
    <x:row r="904" ht="25" customHeight="1">
      <x:c r="A904" s="13" t="str">
        <x:v>☐</x:v>
      </x:c>
      <x:c r="B904" s="11" t="n">
        <x:v>903</x:v>
      </x:c>
      <x:c r="C904" s="15" t="e">
        <x:f>HYPERLINK("https://pokecottage.com/pokemon-master-sets/sneasler","Sneasler")</x:f>
        <x:v>HYPERLINK is not implemented. linkLocation=https://pokecottage.com/pokemon-master-sets/sneasler, friendlyName=Sneasler</x:v>
      </x:c>
      <x:c r="D904" s="7" t="str">
        <x:v>GEN 8 HISUI</x:v>
      </x:c>
      <x:c r="E904" s="7"/>
      <x:c r="F904" s="7"/>
    </x:row>
    <x:row r="905" ht="25" customHeight="1">
      <x:c r="A905" s="14" t="str">
        <x:v>☐</x:v>
      </x:c>
      <x:c r="B905" s="12" t="n">
        <x:v>904</x:v>
      </x:c>
      <x:c r="C905" s="16" t="e">
        <x:f>HYPERLINK("https://pokecottage.com/pokemon-master-sets/overqwil","Overqwil")</x:f>
        <x:v>HYPERLINK is not implemented. linkLocation=https://pokecottage.com/pokemon-master-sets/overqwil, friendlyName=Overqwil</x:v>
      </x:c>
      <x:c r="D905" s="8" t="str">
        <x:v>GEN 8 HISUI</x:v>
      </x:c>
      <x:c r="E905" s="8"/>
      <x:c r="F905" s="8"/>
    </x:row>
    <x:row r="906" ht="25" customHeight="1">
      <x:c r="A906" s="13" t="str">
        <x:v>☐</x:v>
      </x:c>
      <x:c r="B906" s="11" t="n">
        <x:v>905</x:v>
      </x:c>
      <x:c r="C906" s="15" t="e">
        <x:f>HYPERLINK("https://pokecottage.com/pokemon-master-sets/enamorus","Enamorus")</x:f>
        <x:v>HYPERLINK is not implemented. linkLocation=https://pokecottage.com/pokemon-master-sets/enamorus, friendlyName=Enamorus</x:v>
      </x:c>
      <x:c r="D906" s="7" t="str">
        <x:v>GEN 8 HISUI</x:v>
      </x:c>
      <x:c r="E906" s="7"/>
      <x:c r="F906" s="7"/>
    </x:row>
    <x:row r="907" ht="25" customHeight="1">
      <x:c r="A907" s="14" t="str">
        <x:v>☐</x:v>
      </x:c>
      <x:c r="B907" s="12" t="n">
        <x:v>906</x:v>
      </x:c>
      <x:c r="C907" s="16" t="e">
        <x:f>HYPERLINK("https://pokecottage.com/pokemon-master-sets/sprigatito","Sprigatito")</x:f>
        <x:v>HYPERLINK is not implemented. linkLocation=https://pokecottage.com/pokemon-master-sets/sprigatito, friendlyName=Sprigatito</x:v>
      </x:c>
      <x:c r="D907" s="8" t="str">
        <x:v>Gen 9 • Paldea</x:v>
      </x:c>
      <x:c r="E907" s="8"/>
      <x:c r="F907" s="8"/>
    </x:row>
    <x:row r="908" ht="25" customHeight="1">
      <x:c r="A908" s="13" t="str">
        <x:v>☐</x:v>
      </x:c>
      <x:c r="B908" s="11" t="n">
        <x:v>907</x:v>
      </x:c>
      <x:c r="C908" s="15" t="e">
        <x:f>HYPERLINK("https://pokecottage.com/pokemon-master-sets/floragato","Floragato")</x:f>
        <x:v>HYPERLINK is not implemented. linkLocation=https://pokecottage.com/pokemon-master-sets/floragato, friendlyName=Floragato</x:v>
      </x:c>
      <x:c r="D908" s="7" t="str">
        <x:v>Gen 9 • Paldea</x:v>
      </x:c>
      <x:c r="E908" s="7"/>
      <x:c r="F908" s="7"/>
    </x:row>
    <x:row r="909" ht="25" customHeight="1">
      <x:c r="A909" s="14" t="str">
        <x:v>☐</x:v>
      </x:c>
      <x:c r="B909" s="12" t="n">
        <x:v>908</x:v>
      </x:c>
      <x:c r="C909" s="16" t="e">
        <x:f>HYPERLINK("https://pokecottage.com/pokemon-master-sets/meowscarada","Meowscarada")</x:f>
        <x:v>HYPERLINK is not implemented. linkLocation=https://pokecottage.com/pokemon-master-sets/meowscarada, friendlyName=Meowscarada</x:v>
      </x:c>
      <x:c r="D909" s="8" t="str">
        <x:v>Gen 9 • Paldea</x:v>
      </x:c>
      <x:c r="E909" s="8"/>
      <x:c r="F909" s="8"/>
    </x:row>
    <x:row r="910" ht="25" customHeight="1">
      <x:c r="A910" s="13" t="str">
        <x:v>☐</x:v>
      </x:c>
      <x:c r="B910" s="11" t="n">
        <x:v>909</x:v>
      </x:c>
      <x:c r="C910" s="15" t="e">
        <x:f>HYPERLINK("https://pokecottage.com/pokemon-master-sets/fuecoco","Fuecoco")</x:f>
        <x:v>HYPERLINK is not implemented. linkLocation=https://pokecottage.com/pokemon-master-sets/fuecoco, friendlyName=Fuecoco</x:v>
      </x:c>
      <x:c r="D910" s="7" t="str">
        <x:v>Gen 9 • Paldea</x:v>
      </x:c>
      <x:c r="E910" s="7"/>
      <x:c r="F910" s="7"/>
    </x:row>
    <x:row r="911" ht="25" customHeight="1">
      <x:c r="A911" s="14" t="str">
        <x:v>☐</x:v>
      </x:c>
      <x:c r="B911" s="12" t="n">
        <x:v>910</x:v>
      </x:c>
      <x:c r="C911" s="16" t="e">
        <x:f>HYPERLINK("https://pokecottage.com/pokemon-master-sets/crocalor","Crocalor")</x:f>
        <x:v>HYPERLINK is not implemented. linkLocation=https://pokecottage.com/pokemon-master-sets/crocalor, friendlyName=Crocalor</x:v>
      </x:c>
      <x:c r="D911" s="8" t="str">
        <x:v>Gen 9 • Paldea</x:v>
      </x:c>
      <x:c r="E911" s="8"/>
      <x:c r="F911" s="8"/>
    </x:row>
    <x:row r="912" ht="25" customHeight="1">
      <x:c r="A912" s="13" t="str">
        <x:v>☐</x:v>
      </x:c>
      <x:c r="B912" s="11" t="n">
        <x:v>911</x:v>
      </x:c>
      <x:c r="C912" s="15" t="e">
        <x:f>HYPERLINK("https://pokecottage.com/pokemon-master-sets/skeledirge","Skeledirge")</x:f>
        <x:v>HYPERLINK is not implemented. linkLocation=https://pokecottage.com/pokemon-master-sets/skeledirge, friendlyName=Skeledirge</x:v>
      </x:c>
      <x:c r="D912" s="7" t="str">
        <x:v>Gen 9 • Paldea</x:v>
      </x:c>
      <x:c r="E912" s="7"/>
      <x:c r="F912" s="7"/>
    </x:row>
    <x:row r="913" ht="25" customHeight="1">
      <x:c r="A913" s="14" t="str">
        <x:v>☐</x:v>
      </x:c>
      <x:c r="B913" s="12" t="n">
        <x:v>912</x:v>
      </x:c>
      <x:c r="C913" s="16" t="e">
        <x:f>HYPERLINK("https://pokecottage.com/pokemon-master-sets/quaxly","Quaxly")</x:f>
        <x:v>HYPERLINK is not implemented. linkLocation=https://pokecottage.com/pokemon-master-sets/quaxly, friendlyName=Quaxly</x:v>
      </x:c>
      <x:c r="D913" s="8" t="str">
        <x:v>Gen 9 • Paldea</x:v>
      </x:c>
      <x:c r="E913" s="8"/>
      <x:c r="F913" s="8"/>
    </x:row>
    <x:row r="914" ht="25" customHeight="1">
      <x:c r="A914" s="13" t="str">
        <x:v>☐</x:v>
      </x:c>
      <x:c r="B914" s="11" t="n">
        <x:v>913</x:v>
      </x:c>
      <x:c r="C914" s="15" t="e">
        <x:f>HYPERLINK("https://pokecottage.com/pokemon-master-sets/quaxwell","Quaxwell")</x:f>
        <x:v>HYPERLINK is not implemented. linkLocation=https://pokecottage.com/pokemon-master-sets/quaxwell, friendlyName=Quaxwell</x:v>
      </x:c>
      <x:c r="D914" s="7" t="str">
        <x:v>Gen 9 • Paldea</x:v>
      </x:c>
      <x:c r="E914" s="7"/>
      <x:c r="F914" s="7"/>
    </x:row>
    <x:row r="915" ht="25" customHeight="1">
      <x:c r="A915" s="14" t="str">
        <x:v>☐</x:v>
      </x:c>
      <x:c r="B915" s="12" t="n">
        <x:v>914</x:v>
      </x:c>
      <x:c r="C915" s="16" t="e">
        <x:f>HYPERLINK("https://pokecottage.com/pokemon-master-sets/quaquaval","Quaquaval")</x:f>
        <x:v>HYPERLINK is not implemented. linkLocation=https://pokecottage.com/pokemon-master-sets/quaquaval, friendlyName=Quaquaval</x:v>
      </x:c>
      <x:c r="D915" s="8" t="str">
        <x:v>Gen 9 • Paldea</x:v>
      </x:c>
      <x:c r="E915" s="8"/>
      <x:c r="F915" s="8"/>
    </x:row>
    <x:row r="916" ht="25" customHeight="1">
      <x:c r="A916" s="13" t="str">
        <x:v>☐</x:v>
      </x:c>
      <x:c r="B916" s="11" t="n">
        <x:v>915</x:v>
      </x:c>
      <x:c r="C916" s="15" t="e">
        <x:f>HYPERLINK("https://pokecottage.com/pokemon-master-sets/lechonk","Lechonk")</x:f>
        <x:v>HYPERLINK is not implemented. linkLocation=https://pokecottage.com/pokemon-master-sets/lechonk, friendlyName=Lechonk</x:v>
      </x:c>
      <x:c r="D916" s="7" t="str">
        <x:v>Gen 9 • Paldea</x:v>
      </x:c>
      <x:c r="E916" s="7"/>
      <x:c r="F916" s="7"/>
    </x:row>
    <x:row r="917" ht="25" customHeight="1">
      <x:c r="A917" s="14" t="str">
        <x:v>☐</x:v>
      </x:c>
      <x:c r="B917" s="12" t="n">
        <x:v>916</x:v>
      </x:c>
      <x:c r="C917" s="16" t="e">
        <x:f>HYPERLINK("https://pokecottage.com/pokemon-master-sets/oinkologne","Oinkologne")</x:f>
        <x:v>HYPERLINK is not implemented. linkLocation=https://pokecottage.com/pokemon-master-sets/oinkologne, friendlyName=Oinkologne</x:v>
      </x:c>
      <x:c r="D917" s="8" t="str">
        <x:v>Gen 9 • Paldea</x:v>
      </x:c>
      <x:c r="E917" s="8"/>
      <x:c r="F917" s="8"/>
    </x:row>
    <x:row r="918" ht="25" customHeight="1">
      <x:c r="A918" s="13" t="str">
        <x:v>☐</x:v>
      </x:c>
      <x:c r="B918" s="11" t="n">
        <x:v>917</x:v>
      </x:c>
      <x:c r="C918" s="15" t="e">
        <x:f>HYPERLINK("https://pokecottage.com/pokemon-master-sets/tarountula","Tarountula")</x:f>
        <x:v>HYPERLINK is not implemented. linkLocation=https://pokecottage.com/pokemon-master-sets/tarountula, friendlyName=Tarountula</x:v>
      </x:c>
      <x:c r="D918" s="7" t="str">
        <x:v>Gen 9 • Paldea</x:v>
      </x:c>
      <x:c r="E918" s="7"/>
      <x:c r="F918" s="7"/>
    </x:row>
    <x:row r="919" ht="25" customHeight="1">
      <x:c r="A919" s="14" t="str">
        <x:v>☐</x:v>
      </x:c>
      <x:c r="B919" s="12" t="n">
        <x:v>918</x:v>
      </x:c>
      <x:c r="C919" s="16" t="e">
        <x:f>HYPERLINK("https://pokecottage.com/pokemon-master-sets/spidops","Spidops")</x:f>
        <x:v>HYPERLINK is not implemented. linkLocation=https://pokecottage.com/pokemon-master-sets/spidops, friendlyName=Spidops</x:v>
      </x:c>
      <x:c r="D919" s="8" t="str">
        <x:v>Gen 9 • Paldea</x:v>
      </x:c>
      <x:c r="E919" s="8"/>
      <x:c r="F919" s="8"/>
    </x:row>
    <x:row r="920" ht="25" customHeight="1">
      <x:c r="A920" s="13" t="str">
        <x:v>☐</x:v>
      </x:c>
      <x:c r="B920" s="11" t="n">
        <x:v>919</x:v>
      </x:c>
      <x:c r="C920" s="15" t="e">
        <x:f>HYPERLINK("https://pokecottage.com/pokemon-master-sets/nymble","Nymble")</x:f>
        <x:v>HYPERLINK is not implemented. linkLocation=https://pokecottage.com/pokemon-master-sets/nymble, friendlyName=Nymble</x:v>
      </x:c>
      <x:c r="D920" s="7" t="str">
        <x:v>Gen 9 • Paldea</x:v>
      </x:c>
      <x:c r="E920" s="7"/>
      <x:c r="F920" s="7"/>
    </x:row>
    <x:row r="921" ht="25" customHeight="1">
      <x:c r="A921" s="14" t="str">
        <x:v>☐</x:v>
      </x:c>
      <x:c r="B921" s="12" t="n">
        <x:v>920</x:v>
      </x:c>
      <x:c r="C921" s="16" t="e">
        <x:f>HYPERLINK("https://pokecottage.com/pokemon-master-sets/lokix","Lokix")</x:f>
        <x:v>HYPERLINK is not implemented. linkLocation=https://pokecottage.com/pokemon-master-sets/lokix, friendlyName=Lokix</x:v>
      </x:c>
      <x:c r="D921" s="8" t="str">
        <x:v>Gen 9 • Paldea</x:v>
      </x:c>
      <x:c r="E921" s="8"/>
      <x:c r="F921" s="8"/>
    </x:row>
    <x:row r="922" ht="25" customHeight="1">
      <x:c r="A922" s="13" t="str">
        <x:v>☐</x:v>
      </x:c>
      <x:c r="B922" s="11" t="n">
        <x:v>921</x:v>
      </x:c>
      <x:c r="C922" s="15" t="e">
        <x:f>HYPERLINK("https://pokecottage.com/pokemon-master-sets/pawmi","Pawmi")</x:f>
        <x:v>HYPERLINK is not implemented. linkLocation=https://pokecottage.com/pokemon-master-sets/pawmi, friendlyName=Pawmi</x:v>
      </x:c>
      <x:c r="D922" s="7" t="str">
        <x:v>Gen 9 • Paldea</x:v>
      </x:c>
      <x:c r="E922" s="7"/>
      <x:c r="F922" s="7"/>
    </x:row>
    <x:row r="923" ht="25" customHeight="1">
      <x:c r="A923" s="14" t="str">
        <x:v>☐</x:v>
      </x:c>
      <x:c r="B923" s="12" t="n">
        <x:v>922</x:v>
      </x:c>
      <x:c r="C923" s="16" t="e">
        <x:f>HYPERLINK("https://pokecottage.com/pokemon-master-sets/pawmo","Pawmo")</x:f>
        <x:v>HYPERLINK is not implemented. linkLocation=https://pokecottage.com/pokemon-master-sets/pawmo, friendlyName=Pawmo</x:v>
      </x:c>
      <x:c r="D923" s="8" t="str">
        <x:v>Gen 9 • Paldea</x:v>
      </x:c>
      <x:c r="E923" s="8"/>
      <x:c r="F923" s="8"/>
    </x:row>
    <x:row r="924" ht="25" customHeight="1">
      <x:c r="A924" s="13" t="str">
        <x:v>☐</x:v>
      </x:c>
      <x:c r="B924" s="11" t="n">
        <x:v>923</x:v>
      </x:c>
      <x:c r="C924" s="15" t="e">
        <x:f>HYPERLINK("https://pokecottage.com/pokemon-master-sets/pawmot","Pawmot")</x:f>
        <x:v>HYPERLINK is not implemented. linkLocation=https://pokecottage.com/pokemon-master-sets/pawmot, friendlyName=Pawmot</x:v>
      </x:c>
      <x:c r="D924" s="7" t="str">
        <x:v>Gen 9 • Paldea</x:v>
      </x:c>
      <x:c r="E924" s="7"/>
      <x:c r="F924" s="7"/>
    </x:row>
    <x:row r="925" ht="25" customHeight="1">
      <x:c r="A925" s="14" t="str">
        <x:v>☐</x:v>
      </x:c>
      <x:c r="B925" s="12" t="n">
        <x:v>924</x:v>
      </x:c>
      <x:c r="C925" s="16" t="e">
        <x:f>HYPERLINK("https://pokecottage.com/pokemon-master-sets/tandemaus","Tandemaus")</x:f>
        <x:v>HYPERLINK is not implemented. linkLocation=https://pokecottage.com/pokemon-master-sets/tandemaus, friendlyName=Tandemaus</x:v>
      </x:c>
      <x:c r="D925" s="8" t="str">
        <x:v>Gen 9 • Paldea</x:v>
      </x:c>
      <x:c r="E925" s="8"/>
      <x:c r="F925" s="8"/>
    </x:row>
    <x:row r="926" ht="25" customHeight="1">
      <x:c r="A926" s="13" t="str">
        <x:v>☐</x:v>
      </x:c>
      <x:c r="B926" s="11" t="n">
        <x:v>925</x:v>
      </x:c>
      <x:c r="C926" s="15" t="e">
        <x:f>HYPERLINK("https://pokecottage.com/pokemon-master-sets/maushold","Maushold")</x:f>
        <x:v>HYPERLINK is not implemented. linkLocation=https://pokecottage.com/pokemon-master-sets/maushold, friendlyName=Maushold</x:v>
      </x:c>
      <x:c r="D926" s="7" t="str">
        <x:v>Gen 9 • Paldea</x:v>
      </x:c>
      <x:c r="E926" s="7"/>
      <x:c r="F926" s="7"/>
    </x:row>
    <x:row r="927" ht="25" customHeight="1">
      <x:c r="A927" s="14" t="str">
        <x:v>☐</x:v>
      </x:c>
      <x:c r="B927" s="12" t="n">
        <x:v>926</x:v>
      </x:c>
      <x:c r="C927" s="16" t="e">
        <x:f>HYPERLINK("https://pokecottage.com/pokemon-master-sets/fidough","Fidough")</x:f>
        <x:v>HYPERLINK is not implemented. linkLocation=https://pokecottage.com/pokemon-master-sets/fidough, friendlyName=Fidough</x:v>
      </x:c>
      <x:c r="D927" s="8" t="str">
        <x:v>Gen 9 • Paldea</x:v>
      </x:c>
      <x:c r="E927" s="8"/>
      <x:c r="F927" s="8"/>
    </x:row>
    <x:row r="928" ht="25" customHeight="1">
      <x:c r="A928" s="13" t="str">
        <x:v>☐</x:v>
      </x:c>
      <x:c r="B928" s="11" t="n">
        <x:v>927</x:v>
      </x:c>
      <x:c r="C928" s="15" t="e">
        <x:f>HYPERLINK("https://pokecottage.com/pokemon-master-sets/dachsbun","Dachsbun")</x:f>
        <x:v>HYPERLINK is not implemented. linkLocation=https://pokecottage.com/pokemon-master-sets/dachsbun, friendlyName=Dachsbun</x:v>
      </x:c>
      <x:c r="D928" s="7" t="str">
        <x:v>Gen 9 • Paldea</x:v>
      </x:c>
      <x:c r="E928" s="7"/>
      <x:c r="F928" s="7"/>
    </x:row>
    <x:row r="929" ht="25" customHeight="1">
      <x:c r="A929" s="14" t="str">
        <x:v>☐</x:v>
      </x:c>
      <x:c r="B929" s="12" t="n">
        <x:v>928</x:v>
      </x:c>
      <x:c r="C929" s="16" t="e">
        <x:f>HYPERLINK("https://pokecottage.com/pokemon-master-sets/smoliv","Smoliv")</x:f>
        <x:v>HYPERLINK is not implemented. linkLocation=https://pokecottage.com/pokemon-master-sets/smoliv, friendlyName=Smoliv</x:v>
      </x:c>
      <x:c r="D929" s="8" t="str">
        <x:v>Gen 9 • Paldea</x:v>
      </x:c>
      <x:c r="E929" s="8"/>
      <x:c r="F929" s="8"/>
    </x:row>
    <x:row r="930" ht="25" customHeight="1">
      <x:c r="A930" s="13" t="str">
        <x:v>☐</x:v>
      </x:c>
      <x:c r="B930" s="11" t="n">
        <x:v>929</x:v>
      </x:c>
      <x:c r="C930" s="15" t="e">
        <x:f>HYPERLINK("https://pokecottage.com/pokemon-master-sets/dolliv","Dolliv")</x:f>
        <x:v>HYPERLINK is not implemented. linkLocation=https://pokecottage.com/pokemon-master-sets/dolliv, friendlyName=Dolliv</x:v>
      </x:c>
      <x:c r="D930" s="7" t="str">
        <x:v>Gen 9 • Paldea</x:v>
      </x:c>
      <x:c r="E930" s="7"/>
      <x:c r="F930" s="7"/>
    </x:row>
    <x:row r="931" ht="25" customHeight="1">
      <x:c r="A931" s="14" t="str">
        <x:v>☐</x:v>
      </x:c>
      <x:c r="B931" s="12" t="n">
        <x:v>930</x:v>
      </x:c>
      <x:c r="C931" s="16" t="e">
        <x:f>HYPERLINK("https://pokecottage.com/pokemon-master-sets/arboliva","Arboliva")</x:f>
        <x:v>HYPERLINK is not implemented. linkLocation=https://pokecottage.com/pokemon-master-sets/arboliva, friendlyName=Arboliva</x:v>
      </x:c>
      <x:c r="D931" s="8" t="str">
        <x:v>Gen 9 • Paldea</x:v>
      </x:c>
      <x:c r="E931" s="8"/>
      <x:c r="F931" s="8"/>
    </x:row>
    <x:row r="932" ht="25" customHeight="1">
      <x:c r="A932" s="13" t="str">
        <x:v>☐</x:v>
      </x:c>
      <x:c r="B932" s="11" t="n">
        <x:v>931</x:v>
      </x:c>
      <x:c r="C932" s="15" t="e">
        <x:f>HYPERLINK("https://pokecottage.com/pokemon-master-sets/squawkabilly","Squawkabilly")</x:f>
        <x:v>HYPERLINK is not implemented. linkLocation=https://pokecottage.com/pokemon-master-sets/squawkabilly, friendlyName=Squawkabilly</x:v>
      </x:c>
      <x:c r="D932" s="7" t="str">
        <x:v>Gen 9 • Paldea</x:v>
      </x:c>
      <x:c r="E932" s="7"/>
      <x:c r="F932" s="7"/>
    </x:row>
    <x:row r="933" ht="25" customHeight="1">
      <x:c r="A933" s="14" t="str">
        <x:v>☐</x:v>
      </x:c>
      <x:c r="B933" s="12" t="n">
        <x:v>932</x:v>
      </x:c>
      <x:c r="C933" s="16" t="e">
        <x:f>HYPERLINK("https://pokecottage.com/pokemon-master-sets/nacli","Nacli")</x:f>
        <x:v>HYPERLINK is not implemented. linkLocation=https://pokecottage.com/pokemon-master-sets/nacli, friendlyName=Nacli</x:v>
      </x:c>
      <x:c r="D933" s="8" t="str">
        <x:v>Gen 9 • Paldea</x:v>
      </x:c>
      <x:c r="E933" s="8"/>
      <x:c r="F933" s="8"/>
    </x:row>
    <x:row r="934" ht="25" customHeight="1">
      <x:c r="A934" s="13" t="str">
        <x:v>☐</x:v>
      </x:c>
      <x:c r="B934" s="11" t="n">
        <x:v>933</x:v>
      </x:c>
      <x:c r="C934" s="15" t="e">
        <x:f>HYPERLINK("https://pokecottage.com/pokemon-master-sets/naclstack","Naclstack")</x:f>
        <x:v>HYPERLINK is not implemented. linkLocation=https://pokecottage.com/pokemon-master-sets/naclstack, friendlyName=Naclstack</x:v>
      </x:c>
      <x:c r="D934" s="7" t="str">
        <x:v>Gen 9 • Paldea</x:v>
      </x:c>
      <x:c r="E934" s="7"/>
      <x:c r="F934" s="7"/>
    </x:row>
    <x:row r="935" ht="25" customHeight="1">
      <x:c r="A935" s="14" t="str">
        <x:v>☐</x:v>
      </x:c>
      <x:c r="B935" s="12" t="n">
        <x:v>934</x:v>
      </x:c>
      <x:c r="C935" s="16" t="e">
        <x:f>HYPERLINK("https://pokecottage.com/pokemon-master-sets/garganacl","Garganacl")</x:f>
        <x:v>HYPERLINK is not implemented. linkLocation=https://pokecottage.com/pokemon-master-sets/garganacl, friendlyName=Garganacl</x:v>
      </x:c>
      <x:c r="D935" s="8" t="str">
        <x:v>Gen 9 • Paldea</x:v>
      </x:c>
      <x:c r="E935" s="8"/>
      <x:c r="F935" s="8"/>
    </x:row>
    <x:row r="936" ht="25" customHeight="1">
      <x:c r="A936" s="13" t="str">
        <x:v>☐</x:v>
      </x:c>
      <x:c r="B936" s="11" t="n">
        <x:v>935</x:v>
      </x:c>
      <x:c r="C936" s="15" t="e">
        <x:f>HYPERLINK("https://pokecottage.com/pokemon-master-sets/charcadet","Charcadet")</x:f>
        <x:v>HYPERLINK is not implemented. linkLocation=https://pokecottage.com/pokemon-master-sets/charcadet, friendlyName=Charcadet</x:v>
      </x:c>
      <x:c r="D936" s="7" t="str">
        <x:v>Gen 9 • Paldea</x:v>
      </x:c>
      <x:c r="E936" s="7"/>
      <x:c r="F936" s="7"/>
    </x:row>
    <x:row r="937" ht="25" customHeight="1">
      <x:c r="A937" s="14" t="str">
        <x:v>☐</x:v>
      </x:c>
      <x:c r="B937" s="12" t="n">
        <x:v>936</x:v>
      </x:c>
      <x:c r="C937" s="16" t="e">
        <x:f>HYPERLINK("https://pokecottage.com/pokemon-master-sets/armarouge","Armarouge")</x:f>
        <x:v>HYPERLINK is not implemented. linkLocation=https://pokecottage.com/pokemon-master-sets/armarouge, friendlyName=Armarouge</x:v>
      </x:c>
      <x:c r="D937" s="8" t="str">
        <x:v>Gen 9 • Paldea</x:v>
      </x:c>
      <x:c r="E937" s="8"/>
      <x:c r="F937" s="8"/>
    </x:row>
    <x:row r="938" ht="25" customHeight="1">
      <x:c r="A938" s="13" t="str">
        <x:v>☐</x:v>
      </x:c>
      <x:c r="B938" s="11" t="n">
        <x:v>937</x:v>
      </x:c>
      <x:c r="C938" s="15" t="e">
        <x:f>HYPERLINK("https://pokecottage.com/pokemon-master-sets/ceruledge","Ceruledge")</x:f>
        <x:v>HYPERLINK is not implemented. linkLocation=https://pokecottage.com/pokemon-master-sets/ceruledge, friendlyName=Ceruledge</x:v>
      </x:c>
      <x:c r="D938" s="7" t="str">
        <x:v>Gen 9 • Paldea</x:v>
      </x:c>
      <x:c r="E938" s="7"/>
      <x:c r="F938" s="7"/>
    </x:row>
    <x:row r="939" ht="25" customHeight="1">
      <x:c r="A939" s="14" t="str">
        <x:v>☐</x:v>
      </x:c>
      <x:c r="B939" s="12" t="n">
        <x:v>938</x:v>
      </x:c>
      <x:c r="C939" s="16" t="e">
        <x:f>HYPERLINK("https://pokecottage.com/pokemon-master-sets/tadbulb","Tadbulb")</x:f>
        <x:v>HYPERLINK is not implemented. linkLocation=https://pokecottage.com/pokemon-master-sets/tadbulb, friendlyName=Tadbulb</x:v>
      </x:c>
      <x:c r="D939" s="8" t="str">
        <x:v>Gen 9 • Paldea</x:v>
      </x:c>
      <x:c r="E939" s="8"/>
      <x:c r="F939" s="8"/>
    </x:row>
    <x:row r="940" ht="25" customHeight="1">
      <x:c r="A940" s="13" t="str">
        <x:v>☐</x:v>
      </x:c>
      <x:c r="B940" s="11" t="n">
        <x:v>939</x:v>
      </x:c>
      <x:c r="C940" s="15" t="e">
        <x:f>HYPERLINK("https://pokecottage.com/pokemon-master-sets/bellibolt","Bellibolt")</x:f>
        <x:v>HYPERLINK is not implemented. linkLocation=https://pokecottage.com/pokemon-master-sets/bellibolt, friendlyName=Bellibolt</x:v>
      </x:c>
      <x:c r="D940" s="7" t="str">
        <x:v>Gen 9 • Paldea</x:v>
      </x:c>
      <x:c r="E940" s="7"/>
      <x:c r="F940" s="7"/>
    </x:row>
    <x:row r="941" ht="25" customHeight="1">
      <x:c r="A941" s="14" t="str">
        <x:v>☐</x:v>
      </x:c>
      <x:c r="B941" s="12" t="n">
        <x:v>940</x:v>
      </x:c>
      <x:c r="C941" s="16" t="e">
        <x:f>HYPERLINK("https://pokecottage.com/pokemon-master-sets/wattrel","Wattrel")</x:f>
        <x:v>HYPERLINK is not implemented. linkLocation=https://pokecottage.com/pokemon-master-sets/wattrel, friendlyName=Wattrel</x:v>
      </x:c>
      <x:c r="D941" s="8" t="str">
        <x:v>Gen 9 • Paldea</x:v>
      </x:c>
      <x:c r="E941" s="8"/>
      <x:c r="F941" s="8"/>
    </x:row>
    <x:row r="942" ht="25" customHeight="1">
      <x:c r="A942" s="13" t="str">
        <x:v>☐</x:v>
      </x:c>
      <x:c r="B942" s="11" t="n">
        <x:v>941</x:v>
      </x:c>
      <x:c r="C942" s="15" t="e">
        <x:f>HYPERLINK("https://pokecottage.com/pokemon-master-sets/kilowattrel","Kilowattrel")</x:f>
        <x:v>HYPERLINK is not implemented. linkLocation=https://pokecottage.com/pokemon-master-sets/kilowattrel, friendlyName=Kilowattrel</x:v>
      </x:c>
      <x:c r="D942" s="7" t="str">
        <x:v>Gen 9 • Paldea</x:v>
      </x:c>
      <x:c r="E942" s="7"/>
      <x:c r="F942" s="7"/>
    </x:row>
    <x:row r="943" ht="25" customHeight="1">
      <x:c r="A943" s="14" t="str">
        <x:v>☐</x:v>
      </x:c>
      <x:c r="B943" s="12" t="n">
        <x:v>942</x:v>
      </x:c>
      <x:c r="C943" s="16" t="e">
        <x:f>HYPERLINK("https://pokecottage.com/pokemon-master-sets/maschiff","Maschiff")</x:f>
        <x:v>HYPERLINK is not implemented. linkLocation=https://pokecottage.com/pokemon-master-sets/maschiff, friendlyName=Maschiff</x:v>
      </x:c>
      <x:c r="D943" s="8" t="str">
        <x:v>Gen 9 • Paldea</x:v>
      </x:c>
      <x:c r="E943" s="8"/>
      <x:c r="F943" s="8"/>
    </x:row>
    <x:row r="944" ht="25" customHeight="1">
      <x:c r="A944" s="13" t="str">
        <x:v>☐</x:v>
      </x:c>
      <x:c r="B944" s="11" t="n">
        <x:v>943</x:v>
      </x:c>
      <x:c r="C944" s="15" t="e">
        <x:f>HYPERLINK("https://pokecottage.com/pokemon-master-sets/mabosstiff","Mabosstiff")</x:f>
        <x:v>HYPERLINK is not implemented. linkLocation=https://pokecottage.com/pokemon-master-sets/mabosstiff, friendlyName=Mabosstiff</x:v>
      </x:c>
      <x:c r="D944" s="7" t="str">
        <x:v>Gen 9 • Paldea</x:v>
      </x:c>
      <x:c r="E944" s="7"/>
      <x:c r="F944" s="7"/>
    </x:row>
    <x:row r="945" ht="25" customHeight="1">
      <x:c r="A945" s="14" t="str">
        <x:v>☐</x:v>
      </x:c>
      <x:c r="B945" s="12" t="n">
        <x:v>944</x:v>
      </x:c>
      <x:c r="C945" s="16" t="e">
        <x:f>HYPERLINK("https://pokecottage.com/pokemon-master-sets/shroodle","Shroodle")</x:f>
        <x:v>HYPERLINK is not implemented. linkLocation=https://pokecottage.com/pokemon-master-sets/shroodle, friendlyName=Shroodle</x:v>
      </x:c>
      <x:c r="D945" s="8" t="str">
        <x:v>Gen 9 • Paldea</x:v>
      </x:c>
      <x:c r="E945" s="8"/>
      <x:c r="F945" s="8"/>
    </x:row>
    <x:row r="946" ht="25" customHeight="1">
      <x:c r="A946" s="13" t="str">
        <x:v>☐</x:v>
      </x:c>
      <x:c r="B946" s="11" t="n">
        <x:v>945</x:v>
      </x:c>
      <x:c r="C946" s="15" t="e">
        <x:f>HYPERLINK("https://pokecottage.com/pokemon-master-sets/grafaiai","Grafaiai")</x:f>
        <x:v>HYPERLINK is not implemented. linkLocation=https://pokecottage.com/pokemon-master-sets/grafaiai, friendlyName=Grafaiai</x:v>
      </x:c>
      <x:c r="D946" s="7" t="str">
        <x:v>Gen 9 • Paldea</x:v>
      </x:c>
      <x:c r="E946" s="7"/>
      <x:c r="F946" s="7"/>
    </x:row>
    <x:row r="947" ht="25" customHeight="1">
      <x:c r="A947" s="14" t="str">
        <x:v>☐</x:v>
      </x:c>
      <x:c r="B947" s="12" t="n">
        <x:v>946</x:v>
      </x:c>
      <x:c r="C947" s="16" t="e">
        <x:f>HYPERLINK("https://pokecottage.com/pokemon-master-sets/bramblin","Bramblin")</x:f>
        <x:v>HYPERLINK is not implemented. linkLocation=https://pokecottage.com/pokemon-master-sets/bramblin, friendlyName=Bramblin</x:v>
      </x:c>
      <x:c r="D947" s="8" t="str">
        <x:v>Gen 9 • Paldea</x:v>
      </x:c>
      <x:c r="E947" s="8"/>
      <x:c r="F947" s="8"/>
    </x:row>
    <x:row r="948" ht="25" customHeight="1">
      <x:c r="A948" s="13" t="str">
        <x:v>☐</x:v>
      </x:c>
      <x:c r="B948" s="11" t="n">
        <x:v>947</x:v>
      </x:c>
      <x:c r="C948" s="15" t="e">
        <x:f>HYPERLINK("https://pokecottage.com/pokemon-master-sets/brambleghast","Brambleghast")</x:f>
        <x:v>HYPERLINK is not implemented. linkLocation=https://pokecottage.com/pokemon-master-sets/brambleghast, friendlyName=Brambleghast</x:v>
      </x:c>
      <x:c r="D948" s="7" t="str">
        <x:v>Gen 9 • Paldea</x:v>
      </x:c>
      <x:c r="E948" s="7"/>
      <x:c r="F948" s="7"/>
    </x:row>
    <x:row r="949" ht="25" customHeight="1">
      <x:c r="A949" s="14" t="str">
        <x:v>☐</x:v>
      </x:c>
      <x:c r="B949" s="12" t="n">
        <x:v>948</x:v>
      </x:c>
      <x:c r="C949" s="16" t="e">
        <x:f>HYPERLINK("https://pokecottage.com/pokemon-master-sets/toedscool","Toedscool")</x:f>
        <x:v>HYPERLINK is not implemented. linkLocation=https://pokecottage.com/pokemon-master-sets/toedscool, friendlyName=Toedscool</x:v>
      </x:c>
      <x:c r="D949" s="8" t="str">
        <x:v>Gen 9 • Paldea</x:v>
      </x:c>
      <x:c r="E949" s="8"/>
      <x:c r="F949" s="8"/>
    </x:row>
    <x:row r="950" ht="25" customHeight="1">
      <x:c r="A950" s="13" t="str">
        <x:v>☐</x:v>
      </x:c>
      <x:c r="B950" s="11" t="n">
        <x:v>949</x:v>
      </x:c>
      <x:c r="C950" s="15" t="e">
        <x:f>HYPERLINK("https://pokecottage.com/pokemon-master-sets/toedscruel","Toedscruel")</x:f>
        <x:v>HYPERLINK is not implemented. linkLocation=https://pokecottage.com/pokemon-master-sets/toedscruel, friendlyName=Toedscruel</x:v>
      </x:c>
      <x:c r="D950" s="7" t="str">
        <x:v>Gen 9 • Paldea</x:v>
      </x:c>
      <x:c r="E950" s="7"/>
      <x:c r="F950" s="7"/>
    </x:row>
    <x:row r="951" ht="25" customHeight="1">
      <x:c r="A951" s="14" t="str">
        <x:v>☐</x:v>
      </x:c>
      <x:c r="B951" s="12" t="n">
        <x:v>950</x:v>
      </x:c>
      <x:c r="C951" s="16" t="e">
        <x:f>HYPERLINK("https://pokecottage.com/pokemon-master-sets/klawf","Klawf")</x:f>
        <x:v>HYPERLINK is not implemented. linkLocation=https://pokecottage.com/pokemon-master-sets/klawf, friendlyName=Klawf</x:v>
      </x:c>
      <x:c r="D951" s="8" t="str">
        <x:v>Gen 9 • Paldea</x:v>
      </x:c>
      <x:c r="E951" s="8"/>
      <x:c r="F951" s="8"/>
    </x:row>
    <x:row r="952" ht="25" customHeight="1">
      <x:c r="A952" s="13" t="str">
        <x:v>☐</x:v>
      </x:c>
      <x:c r="B952" s="11" t="n">
        <x:v>951</x:v>
      </x:c>
      <x:c r="C952" s="15" t="e">
        <x:f>HYPERLINK("https://pokecottage.com/pokemon-master-sets/capsakid","Capsakid")</x:f>
        <x:v>HYPERLINK is not implemented. linkLocation=https://pokecottage.com/pokemon-master-sets/capsakid, friendlyName=Capsakid</x:v>
      </x:c>
      <x:c r="D952" s="7" t="str">
        <x:v>Gen 9 • Paldea</x:v>
      </x:c>
      <x:c r="E952" s="7"/>
      <x:c r="F952" s="7"/>
    </x:row>
    <x:row r="953" ht="25" customHeight="1">
      <x:c r="A953" s="14" t="str">
        <x:v>☐</x:v>
      </x:c>
      <x:c r="B953" s="12" t="n">
        <x:v>952</x:v>
      </x:c>
      <x:c r="C953" s="16" t="e">
        <x:f>HYPERLINK("https://pokecottage.com/pokemon-master-sets/scovillain","Scovillain")</x:f>
        <x:v>HYPERLINK is not implemented. linkLocation=https://pokecottage.com/pokemon-master-sets/scovillain, friendlyName=Scovillain</x:v>
      </x:c>
      <x:c r="D953" s="8" t="str">
        <x:v>Gen 9 • Paldea</x:v>
      </x:c>
      <x:c r="E953" s="8"/>
      <x:c r="F953" s="8"/>
    </x:row>
    <x:row r="954" ht="25" customHeight="1">
      <x:c r="A954" s="13" t="str">
        <x:v>☐</x:v>
      </x:c>
      <x:c r="B954" s="11" t="n">
        <x:v>953</x:v>
      </x:c>
      <x:c r="C954" s="15" t="e">
        <x:f>HYPERLINK("https://pokecottage.com/pokemon-master-sets/rellor","Rellor")</x:f>
        <x:v>HYPERLINK is not implemented. linkLocation=https://pokecottage.com/pokemon-master-sets/rellor, friendlyName=Rellor</x:v>
      </x:c>
      <x:c r="D954" s="7" t="str">
        <x:v>Gen 9 • Paldea</x:v>
      </x:c>
      <x:c r="E954" s="7"/>
      <x:c r="F954" s="7"/>
    </x:row>
    <x:row r="955" ht="25" customHeight="1">
      <x:c r="A955" s="14" t="str">
        <x:v>☐</x:v>
      </x:c>
      <x:c r="B955" s="12" t="n">
        <x:v>954</x:v>
      </x:c>
      <x:c r="C955" s="16" t="e">
        <x:f>HYPERLINK("https://pokecottage.com/pokemon-master-sets/rabsca","Rabsca")</x:f>
        <x:v>HYPERLINK is not implemented. linkLocation=https://pokecottage.com/pokemon-master-sets/rabsca, friendlyName=Rabsca</x:v>
      </x:c>
      <x:c r="D955" s="8" t="str">
        <x:v>Gen 9 • Paldea</x:v>
      </x:c>
      <x:c r="E955" s="8"/>
      <x:c r="F955" s="8"/>
    </x:row>
    <x:row r="956" ht="25" customHeight="1">
      <x:c r="A956" s="13" t="str">
        <x:v>☐</x:v>
      </x:c>
      <x:c r="B956" s="11" t="n">
        <x:v>955</x:v>
      </x:c>
      <x:c r="C956" s="15" t="e">
        <x:f>HYPERLINK("https://pokecottage.com/pokemon-master-sets/flittle","Flittle")</x:f>
        <x:v>HYPERLINK is not implemented. linkLocation=https://pokecottage.com/pokemon-master-sets/flittle, friendlyName=Flittle</x:v>
      </x:c>
      <x:c r="D956" s="7" t="str">
        <x:v>Gen 9 • Paldea</x:v>
      </x:c>
      <x:c r="E956" s="7"/>
      <x:c r="F956" s="7"/>
    </x:row>
    <x:row r="957" ht="25" customHeight="1">
      <x:c r="A957" s="14" t="str">
        <x:v>☐</x:v>
      </x:c>
      <x:c r="B957" s="12" t="n">
        <x:v>956</x:v>
      </x:c>
      <x:c r="C957" s="16" t="e">
        <x:f>HYPERLINK("https://pokecottage.com/pokemon-master-sets/espathra","Espathra")</x:f>
        <x:v>HYPERLINK is not implemented. linkLocation=https://pokecottage.com/pokemon-master-sets/espathra, friendlyName=Espathra</x:v>
      </x:c>
      <x:c r="D957" s="8" t="str">
        <x:v>Gen 9 • Paldea</x:v>
      </x:c>
      <x:c r="E957" s="8"/>
      <x:c r="F957" s="8"/>
    </x:row>
    <x:row r="958" ht="25" customHeight="1">
      <x:c r="A958" s="13" t="str">
        <x:v>☐</x:v>
      </x:c>
      <x:c r="B958" s="11" t="n">
        <x:v>957</x:v>
      </x:c>
      <x:c r="C958" s="15" t="e">
        <x:f>HYPERLINK("https://pokecottage.com/pokemon-master-sets/tinkatink","Tinkatink")</x:f>
        <x:v>HYPERLINK is not implemented. linkLocation=https://pokecottage.com/pokemon-master-sets/tinkatink, friendlyName=Tinkatink</x:v>
      </x:c>
      <x:c r="D958" s="7" t="str">
        <x:v>Gen 9 • Paldea</x:v>
      </x:c>
      <x:c r="E958" s="7"/>
      <x:c r="F958" s="7"/>
    </x:row>
    <x:row r="959" ht="25" customHeight="1">
      <x:c r="A959" s="14" t="str">
        <x:v>☐</x:v>
      </x:c>
      <x:c r="B959" s="12" t="n">
        <x:v>958</x:v>
      </x:c>
      <x:c r="C959" s="16" t="e">
        <x:f>HYPERLINK("https://pokecottage.com/pokemon-master-sets/tinkatuff","Tinkatuff")</x:f>
        <x:v>HYPERLINK is not implemented. linkLocation=https://pokecottage.com/pokemon-master-sets/tinkatuff, friendlyName=Tinkatuff</x:v>
      </x:c>
      <x:c r="D959" s="8" t="str">
        <x:v>Gen 9 • Paldea</x:v>
      </x:c>
      <x:c r="E959" s="8"/>
      <x:c r="F959" s="8"/>
    </x:row>
    <x:row r="960" ht="25" customHeight="1">
      <x:c r="A960" s="13" t="str">
        <x:v>☐</x:v>
      </x:c>
      <x:c r="B960" s="11" t="n">
        <x:v>959</x:v>
      </x:c>
      <x:c r="C960" s="15" t="e">
        <x:f>HYPERLINK("https://pokecottage.com/pokemon-master-sets/tinkaton","Tinkaton")</x:f>
        <x:v>HYPERLINK is not implemented. linkLocation=https://pokecottage.com/pokemon-master-sets/tinkaton, friendlyName=Tinkaton</x:v>
      </x:c>
      <x:c r="D960" s="7" t="str">
        <x:v>Gen 9 • Paldea</x:v>
      </x:c>
      <x:c r="E960" s="7"/>
      <x:c r="F960" s="7"/>
    </x:row>
    <x:row r="961" ht="25" customHeight="1">
      <x:c r="A961" s="14" t="str">
        <x:v>☐</x:v>
      </x:c>
      <x:c r="B961" s="12" t="n">
        <x:v>960</x:v>
      </x:c>
      <x:c r="C961" s="16" t="e">
        <x:f>HYPERLINK("https://pokecottage.com/pokemon-master-sets/wiglett","Wiglett")</x:f>
        <x:v>HYPERLINK is not implemented. linkLocation=https://pokecottage.com/pokemon-master-sets/wiglett, friendlyName=Wiglett</x:v>
      </x:c>
      <x:c r="D961" s="8" t="str">
        <x:v>Gen 9 • Paldea</x:v>
      </x:c>
      <x:c r="E961" s="8"/>
      <x:c r="F961" s="8"/>
    </x:row>
    <x:row r="962" ht="25" customHeight="1">
      <x:c r="A962" s="13" t="str">
        <x:v>☐</x:v>
      </x:c>
      <x:c r="B962" s="11" t="n">
        <x:v>961</x:v>
      </x:c>
      <x:c r="C962" s="15" t="e">
        <x:f>HYPERLINK("https://pokecottage.com/pokemon-master-sets/wugtrio","Wugtrio")</x:f>
        <x:v>HYPERLINK is not implemented. linkLocation=https://pokecottage.com/pokemon-master-sets/wugtrio, friendlyName=Wugtrio</x:v>
      </x:c>
      <x:c r="D962" s="7" t="str">
        <x:v>Gen 9 • Paldea</x:v>
      </x:c>
      <x:c r="E962" s="7"/>
      <x:c r="F962" s="7"/>
    </x:row>
    <x:row r="963" ht="25" customHeight="1">
      <x:c r="A963" s="14" t="str">
        <x:v>☐</x:v>
      </x:c>
      <x:c r="B963" s="12" t="n">
        <x:v>962</x:v>
      </x:c>
      <x:c r="C963" s="16" t="e">
        <x:f>HYPERLINK("https://pokecottage.com/pokemon-master-sets/bombirdier","Bombirdier")</x:f>
        <x:v>HYPERLINK is not implemented. linkLocation=https://pokecottage.com/pokemon-master-sets/bombirdier, friendlyName=Bombirdier</x:v>
      </x:c>
      <x:c r="D963" s="8" t="str">
        <x:v>Gen 9 • Paldea</x:v>
      </x:c>
      <x:c r="E963" s="8"/>
      <x:c r="F963" s="8"/>
    </x:row>
    <x:row r="964" ht="25" customHeight="1">
      <x:c r="A964" s="13" t="str">
        <x:v>☐</x:v>
      </x:c>
      <x:c r="B964" s="11" t="n">
        <x:v>963</x:v>
      </x:c>
      <x:c r="C964" s="15" t="e">
        <x:f>HYPERLINK("https://pokecottage.com/pokemon-master-sets/finizen","Finizen")</x:f>
        <x:v>HYPERLINK is not implemented. linkLocation=https://pokecottage.com/pokemon-master-sets/finizen, friendlyName=Finizen</x:v>
      </x:c>
      <x:c r="D964" s="7" t="str">
        <x:v>Gen 9 • Paldea</x:v>
      </x:c>
      <x:c r="E964" s="7"/>
      <x:c r="F964" s="7"/>
    </x:row>
    <x:row r="965" ht="25" customHeight="1">
      <x:c r="A965" s="14" t="str">
        <x:v>☐</x:v>
      </x:c>
      <x:c r="B965" s="12" t="n">
        <x:v>964</x:v>
      </x:c>
      <x:c r="C965" s="16" t="e">
        <x:f>HYPERLINK("https://pokecottage.com/pokemon-master-sets/palafin","Palafin")</x:f>
        <x:v>HYPERLINK is not implemented. linkLocation=https://pokecottage.com/pokemon-master-sets/palafin, friendlyName=Palafin</x:v>
      </x:c>
      <x:c r="D965" s="8" t="str">
        <x:v>Gen 9 • Paldea</x:v>
      </x:c>
      <x:c r="E965" s="8"/>
      <x:c r="F965" s="8"/>
    </x:row>
    <x:row r="966" ht="25" customHeight="1">
      <x:c r="A966" s="13" t="str">
        <x:v>☐</x:v>
      </x:c>
      <x:c r="B966" s="11" t="n">
        <x:v>965</x:v>
      </x:c>
      <x:c r="C966" s="15" t="e">
        <x:f>HYPERLINK("https://pokecottage.com/pokemon-master-sets/varoom","Varoom")</x:f>
        <x:v>HYPERLINK is not implemented. linkLocation=https://pokecottage.com/pokemon-master-sets/varoom, friendlyName=Varoom</x:v>
      </x:c>
      <x:c r="D966" s="7" t="str">
        <x:v>Gen 9 • Paldea</x:v>
      </x:c>
      <x:c r="E966" s="7"/>
      <x:c r="F966" s="7"/>
    </x:row>
    <x:row r="967" ht="25" customHeight="1">
      <x:c r="A967" s="14" t="str">
        <x:v>☐</x:v>
      </x:c>
      <x:c r="B967" s="12" t="n">
        <x:v>966</x:v>
      </x:c>
      <x:c r="C967" s="16" t="e">
        <x:f>HYPERLINK("https://pokecottage.com/pokemon-master-sets/revavroom","Revavroom")</x:f>
        <x:v>HYPERLINK is not implemented. linkLocation=https://pokecottage.com/pokemon-master-sets/revavroom, friendlyName=Revavroom</x:v>
      </x:c>
      <x:c r="D967" s="8" t="str">
        <x:v>Gen 9 • Paldea</x:v>
      </x:c>
      <x:c r="E967" s="8"/>
      <x:c r="F967" s="8"/>
    </x:row>
    <x:row r="968" ht="25" customHeight="1">
      <x:c r="A968" s="13" t="str">
        <x:v>☐</x:v>
      </x:c>
      <x:c r="B968" s="11" t="n">
        <x:v>967</x:v>
      </x:c>
      <x:c r="C968" s="15" t="e">
        <x:f>HYPERLINK("https://pokecottage.com/pokemon-master-sets/cyclizar","Cyclizar")</x:f>
        <x:v>HYPERLINK is not implemented. linkLocation=https://pokecottage.com/pokemon-master-sets/cyclizar, friendlyName=Cyclizar</x:v>
      </x:c>
      <x:c r="D968" s="7" t="str">
        <x:v>Gen 9 • Paldea</x:v>
      </x:c>
      <x:c r="E968" s="7"/>
      <x:c r="F968" s="7"/>
    </x:row>
    <x:row r="969" ht="25" customHeight="1">
      <x:c r="A969" s="14" t="str">
        <x:v>☐</x:v>
      </x:c>
      <x:c r="B969" s="12" t="n">
        <x:v>968</x:v>
      </x:c>
      <x:c r="C969" s="16" t="e">
        <x:f>HYPERLINK("https://pokecottage.com/pokemon-master-sets/orthworm","Orthworm")</x:f>
        <x:v>HYPERLINK is not implemented. linkLocation=https://pokecottage.com/pokemon-master-sets/orthworm, friendlyName=Orthworm</x:v>
      </x:c>
      <x:c r="D969" s="8" t="str">
        <x:v>Gen 9 • Paldea</x:v>
      </x:c>
      <x:c r="E969" s="8"/>
      <x:c r="F969" s="8"/>
    </x:row>
    <x:row r="970" ht="25" customHeight="1">
      <x:c r="A970" s="13" t="str">
        <x:v>☐</x:v>
      </x:c>
      <x:c r="B970" s="11" t="n">
        <x:v>969</x:v>
      </x:c>
      <x:c r="C970" s="15" t="e">
        <x:f>HYPERLINK("https://pokecottage.com/pokemon-master-sets/glimmet","Glimmet")</x:f>
        <x:v>HYPERLINK is not implemented. linkLocation=https://pokecottage.com/pokemon-master-sets/glimmet, friendlyName=Glimmet</x:v>
      </x:c>
      <x:c r="D970" s="7" t="str">
        <x:v>Gen 9 • Paldea</x:v>
      </x:c>
      <x:c r="E970" s="7"/>
      <x:c r="F970" s="7"/>
    </x:row>
    <x:row r="971" ht="25" customHeight="1">
      <x:c r="A971" s="14" t="str">
        <x:v>☐</x:v>
      </x:c>
      <x:c r="B971" s="12" t="n">
        <x:v>970</x:v>
      </x:c>
      <x:c r="C971" s="16" t="e">
        <x:f>HYPERLINK("https://pokecottage.com/pokemon-master-sets/glimmora","Glimmora")</x:f>
        <x:v>HYPERLINK is not implemented. linkLocation=https://pokecottage.com/pokemon-master-sets/glimmora, friendlyName=Glimmora</x:v>
      </x:c>
      <x:c r="D971" s="8" t="str">
        <x:v>Gen 9 • Paldea</x:v>
      </x:c>
      <x:c r="E971" s="8"/>
      <x:c r="F971" s="8"/>
    </x:row>
    <x:row r="972" ht="25" customHeight="1">
      <x:c r="A972" s="13" t="str">
        <x:v>☐</x:v>
      </x:c>
      <x:c r="B972" s="11" t="n">
        <x:v>971</x:v>
      </x:c>
      <x:c r="C972" s="15" t="e">
        <x:f>HYPERLINK("https://pokecottage.com/pokemon-master-sets/greavard","Greavard")</x:f>
        <x:v>HYPERLINK is not implemented. linkLocation=https://pokecottage.com/pokemon-master-sets/greavard, friendlyName=Greavard</x:v>
      </x:c>
      <x:c r="D972" s="7" t="str">
        <x:v>Gen 9 • Paldea</x:v>
      </x:c>
      <x:c r="E972" s="7"/>
      <x:c r="F972" s="7"/>
    </x:row>
    <x:row r="973" ht="25" customHeight="1">
      <x:c r="A973" s="14" t="str">
        <x:v>☐</x:v>
      </x:c>
      <x:c r="B973" s="12" t="n">
        <x:v>972</x:v>
      </x:c>
      <x:c r="C973" s="16" t="e">
        <x:f>HYPERLINK("https://pokecottage.com/pokemon-master-sets/houndstone","Houndstone")</x:f>
        <x:v>HYPERLINK is not implemented. linkLocation=https://pokecottage.com/pokemon-master-sets/houndstone, friendlyName=Houndstone</x:v>
      </x:c>
      <x:c r="D973" s="8" t="str">
        <x:v>Gen 9 • Paldea</x:v>
      </x:c>
      <x:c r="E973" s="8"/>
      <x:c r="F973" s="8"/>
    </x:row>
    <x:row r="974" ht="25" customHeight="1">
      <x:c r="A974" s="13" t="str">
        <x:v>☐</x:v>
      </x:c>
      <x:c r="B974" s="11" t="n">
        <x:v>973</x:v>
      </x:c>
      <x:c r="C974" s="15" t="e">
        <x:f>HYPERLINK("https://pokecottage.com/pokemon-master-sets/flamigo","Flamigo")</x:f>
        <x:v>HYPERLINK is not implemented. linkLocation=https://pokecottage.com/pokemon-master-sets/flamigo, friendlyName=Flamigo</x:v>
      </x:c>
      <x:c r="D974" s="7" t="str">
        <x:v>Gen 9 • Paldea</x:v>
      </x:c>
      <x:c r="E974" s="7"/>
      <x:c r="F974" s="7"/>
    </x:row>
    <x:row r="975" ht="25" customHeight="1">
      <x:c r="A975" s="14" t="str">
        <x:v>☐</x:v>
      </x:c>
      <x:c r="B975" s="12" t="n">
        <x:v>974</x:v>
      </x:c>
      <x:c r="C975" s="16" t="e">
        <x:f>HYPERLINK("https://pokecottage.com/pokemon-master-sets/cetoddle","Cetoddle")</x:f>
        <x:v>HYPERLINK is not implemented. linkLocation=https://pokecottage.com/pokemon-master-sets/cetoddle, friendlyName=Cetoddle</x:v>
      </x:c>
      <x:c r="D975" s="8" t="str">
        <x:v>Gen 9 • Paldea</x:v>
      </x:c>
      <x:c r="E975" s="8"/>
      <x:c r="F975" s="8"/>
    </x:row>
    <x:row r="976" ht="25" customHeight="1">
      <x:c r="A976" s="13" t="str">
        <x:v>☐</x:v>
      </x:c>
      <x:c r="B976" s="11" t="n">
        <x:v>975</x:v>
      </x:c>
      <x:c r="C976" s="15" t="e">
        <x:f>HYPERLINK("https://pokecottage.com/pokemon-master-sets/cetitan","Cetitan")</x:f>
        <x:v>HYPERLINK is not implemented. linkLocation=https://pokecottage.com/pokemon-master-sets/cetitan, friendlyName=Cetitan</x:v>
      </x:c>
      <x:c r="D976" s="7" t="str">
        <x:v>Gen 9 • Paldea</x:v>
      </x:c>
      <x:c r="E976" s="7"/>
      <x:c r="F976" s="7"/>
    </x:row>
    <x:row r="977" ht="25" customHeight="1">
      <x:c r="A977" s="14" t="str">
        <x:v>☐</x:v>
      </x:c>
      <x:c r="B977" s="12" t="n">
        <x:v>976</x:v>
      </x:c>
      <x:c r="C977" s="16" t="e">
        <x:f>HYPERLINK("https://pokecottage.com/pokemon-master-sets/veluza","Veluza")</x:f>
        <x:v>HYPERLINK is not implemented. linkLocation=https://pokecottage.com/pokemon-master-sets/veluza, friendlyName=Veluza</x:v>
      </x:c>
      <x:c r="D977" s="8" t="str">
        <x:v>Gen 9 • Paldea</x:v>
      </x:c>
      <x:c r="E977" s="8"/>
      <x:c r="F977" s="8"/>
    </x:row>
    <x:row r="978" ht="25" customHeight="1">
      <x:c r="A978" s="13" t="str">
        <x:v>☐</x:v>
      </x:c>
      <x:c r="B978" s="11" t="n">
        <x:v>977</x:v>
      </x:c>
      <x:c r="C978" s="15" t="e">
        <x:f>HYPERLINK("https://pokecottage.com/pokemon-master-sets/dondozo","Dondozo")</x:f>
        <x:v>HYPERLINK is not implemented. linkLocation=https://pokecottage.com/pokemon-master-sets/dondozo, friendlyName=Dondozo</x:v>
      </x:c>
      <x:c r="D978" s="7" t="str">
        <x:v>Gen 9 • Paldea</x:v>
      </x:c>
      <x:c r="E978" s="7"/>
      <x:c r="F978" s="7"/>
    </x:row>
    <x:row r="979" ht="25" customHeight="1">
      <x:c r="A979" s="14" t="str">
        <x:v>☐</x:v>
      </x:c>
      <x:c r="B979" s="12" t="n">
        <x:v>978</x:v>
      </x:c>
      <x:c r="C979" s="16" t="e">
        <x:f>HYPERLINK("https://pokecottage.com/pokemon-master-sets/tatsugiri","Tatsugiri")</x:f>
        <x:v>HYPERLINK is not implemented. linkLocation=https://pokecottage.com/pokemon-master-sets/tatsugiri, friendlyName=Tatsugiri</x:v>
      </x:c>
      <x:c r="D979" s="8" t="str">
        <x:v>Gen 9 • Paldea</x:v>
      </x:c>
      <x:c r="E979" s="8"/>
      <x:c r="F979" s="8"/>
    </x:row>
    <x:row r="980" ht="25" customHeight="1">
      <x:c r="A980" s="13" t="str">
        <x:v>☐</x:v>
      </x:c>
      <x:c r="B980" s="11" t="n">
        <x:v>979</x:v>
      </x:c>
      <x:c r="C980" s="15" t="e">
        <x:f>HYPERLINK("https://pokecottage.com/pokemon-master-sets/annihilape","Annihilape")</x:f>
        <x:v>HYPERLINK is not implemented. linkLocation=https://pokecottage.com/pokemon-master-sets/annihilape, friendlyName=Annihilape</x:v>
      </x:c>
      <x:c r="D980" s="7" t="str">
        <x:v>Gen 9 • Paldea</x:v>
      </x:c>
      <x:c r="E980" s="7"/>
      <x:c r="F980" s="7"/>
    </x:row>
    <x:row r="981" ht="25" customHeight="1">
      <x:c r="A981" s="14" t="str">
        <x:v>☐</x:v>
      </x:c>
      <x:c r="B981" s="12" t="n">
        <x:v>980</x:v>
      </x:c>
      <x:c r="C981" s="16" t="e">
        <x:f>HYPERLINK("https://pokecottage.com/pokemon-master-sets/clodsire","Clodsire")</x:f>
        <x:v>HYPERLINK is not implemented. linkLocation=https://pokecottage.com/pokemon-master-sets/clodsire, friendlyName=Clodsire</x:v>
      </x:c>
      <x:c r="D981" s="8" t="str">
        <x:v>Gen 9 • Paldea</x:v>
      </x:c>
      <x:c r="E981" s="8"/>
      <x:c r="F981" s="8"/>
    </x:row>
    <x:row r="982" ht="25" customHeight="1">
      <x:c r="A982" s="13" t="str">
        <x:v>☐</x:v>
      </x:c>
      <x:c r="B982" s="11" t="n">
        <x:v>981</x:v>
      </x:c>
      <x:c r="C982" s="15" t="e">
        <x:f>HYPERLINK("https://pokecottage.com/pokemon-master-sets/farigiraf","Farigiraf")</x:f>
        <x:v>HYPERLINK is not implemented. linkLocation=https://pokecottage.com/pokemon-master-sets/farigiraf, friendlyName=Farigiraf</x:v>
      </x:c>
      <x:c r="D982" s="7" t="str">
        <x:v>Gen 9 • Paldea</x:v>
      </x:c>
      <x:c r="E982" s="7"/>
      <x:c r="F982" s="7"/>
    </x:row>
    <x:row r="983" ht="25" customHeight="1">
      <x:c r="A983" s="14" t="str">
        <x:v>☐</x:v>
      </x:c>
      <x:c r="B983" s="12" t="n">
        <x:v>982</x:v>
      </x:c>
      <x:c r="C983" s="16" t="e">
        <x:f>HYPERLINK("https://pokecottage.com/pokemon-master-sets/dudunsparce","Dudunsparce")</x:f>
        <x:v>HYPERLINK is not implemented. linkLocation=https://pokecottage.com/pokemon-master-sets/dudunsparce, friendlyName=Dudunsparce</x:v>
      </x:c>
      <x:c r="D983" s="8" t="str">
        <x:v>Gen 9 • Paldea</x:v>
      </x:c>
      <x:c r="E983" s="8"/>
      <x:c r="F983" s="8"/>
    </x:row>
    <x:row r="984" ht="25" customHeight="1">
      <x:c r="A984" s="13" t="str">
        <x:v>☐</x:v>
      </x:c>
      <x:c r="B984" s="11" t="n">
        <x:v>983</x:v>
      </x:c>
      <x:c r="C984" s="15" t="e">
        <x:f>HYPERLINK("https://pokecottage.com/pokemon-master-sets/kingambit","Kingambit")</x:f>
        <x:v>HYPERLINK is not implemented. linkLocation=https://pokecottage.com/pokemon-master-sets/kingambit, friendlyName=Kingambit</x:v>
      </x:c>
      <x:c r="D984" s="7" t="str">
        <x:v>Gen 9 • Paldea</x:v>
      </x:c>
      <x:c r="E984" s="7"/>
      <x:c r="F984" s="7"/>
    </x:row>
    <x:row r="985" ht="25" customHeight="1">
      <x:c r="A985" s="14" t="str">
        <x:v>☐</x:v>
      </x:c>
      <x:c r="B985" s="12" t="n">
        <x:v>984</x:v>
      </x:c>
      <x:c r="C985" s="16" t="e">
        <x:f>HYPERLINK("https://pokecottage.com/pokemon-master-sets/great-tusk","Great Tusk")</x:f>
        <x:v>HYPERLINK is not implemented. linkLocation=https://pokecottage.com/pokemon-master-sets/great-tusk, friendlyName=Great Tusk</x:v>
      </x:c>
      <x:c r="D985" s="8" t="str">
        <x:v>Gen 9 • Paldea</x:v>
      </x:c>
      <x:c r="E985" s="8"/>
      <x:c r="F985" s="8"/>
    </x:row>
    <x:row r="986" ht="25" customHeight="1">
      <x:c r="A986" s="13" t="str">
        <x:v>☐</x:v>
      </x:c>
      <x:c r="B986" s="11" t="n">
        <x:v>985</x:v>
      </x:c>
      <x:c r="C986" s="15" t="e">
        <x:f>HYPERLINK("https://pokecottage.com/pokemon-master-sets/scream-tail","Scream Tail")</x:f>
        <x:v>HYPERLINK is not implemented. linkLocation=https://pokecottage.com/pokemon-master-sets/scream-tail, friendlyName=Scream Tail</x:v>
      </x:c>
      <x:c r="D986" s="7" t="str">
        <x:v>Gen 9 • Paldea</x:v>
      </x:c>
      <x:c r="E986" s="7"/>
      <x:c r="F986" s="7"/>
    </x:row>
    <x:row r="987" ht="25" customHeight="1">
      <x:c r="A987" s="14" t="str">
        <x:v>☐</x:v>
      </x:c>
      <x:c r="B987" s="12" t="n">
        <x:v>986</x:v>
      </x:c>
      <x:c r="C987" s="16" t="e">
        <x:f>HYPERLINK("https://pokecottage.com/pokemon-master-sets/brute-bonnet","Brute Bonnet")</x:f>
        <x:v>HYPERLINK is not implemented. linkLocation=https://pokecottage.com/pokemon-master-sets/brute-bonnet, friendlyName=Brute Bonnet</x:v>
      </x:c>
      <x:c r="D987" s="8" t="str">
        <x:v>Gen 9 • Paldea</x:v>
      </x:c>
      <x:c r="E987" s="8"/>
      <x:c r="F987" s="8"/>
    </x:row>
    <x:row r="988" ht="25" customHeight="1">
      <x:c r="A988" s="13" t="str">
        <x:v>☐</x:v>
      </x:c>
      <x:c r="B988" s="11" t="n">
        <x:v>987</x:v>
      </x:c>
      <x:c r="C988" s="15" t="e">
        <x:f>HYPERLINK("https://pokecottage.com/pokemon-master-sets/flutter-mane","Flutter Mane")</x:f>
        <x:v>HYPERLINK is not implemented. linkLocation=https://pokecottage.com/pokemon-master-sets/flutter-mane, friendlyName=Flutter Mane</x:v>
      </x:c>
      <x:c r="D988" s="7" t="str">
        <x:v>Gen 9 • Paldea</x:v>
      </x:c>
      <x:c r="E988" s="7"/>
      <x:c r="F988" s="7"/>
    </x:row>
    <x:row r="989" ht="25" customHeight="1">
      <x:c r="A989" s="14" t="str">
        <x:v>☐</x:v>
      </x:c>
      <x:c r="B989" s="12" t="n">
        <x:v>988</x:v>
      </x:c>
      <x:c r="C989" s="16" t="e">
        <x:f>HYPERLINK("https://pokecottage.com/pokemon-master-sets/slither-wing","Slither Wing")</x:f>
        <x:v>HYPERLINK is not implemented. linkLocation=https://pokecottage.com/pokemon-master-sets/slither-wing, friendlyName=Slither Wing</x:v>
      </x:c>
      <x:c r="D989" s="8" t="str">
        <x:v>Gen 9 • Paldea</x:v>
      </x:c>
      <x:c r="E989" s="8"/>
      <x:c r="F989" s="8"/>
    </x:row>
    <x:row r="990" ht="25" customHeight="1">
      <x:c r="A990" s="13" t="str">
        <x:v>☐</x:v>
      </x:c>
      <x:c r="B990" s="11" t="n">
        <x:v>989</x:v>
      </x:c>
      <x:c r="C990" s="15" t="e">
        <x:f>HYPERLINK("https://pokecottage.com/pokemon-master-sets/sandy-shocks","Sandy Shocks")</x:f>
        <x:v>HYPERLINK is not implemented. linkLocation=https://pokecottage.com/pokemon-master-sets/sandy-shocks, friendlyName=Sandy Shocks</x:v>
      </x:c>
      <x:c r="D990" s="7" t="str">
        <x:v>Gen 9 • Paldea</x:v>
      </x:c>
      <x:c r="E990" s="7"/>
      <x:c r="F990" s="7"/>
    </x:row>
    <x:row r="991" ht="25" customHeight="1">
      <x:c r="A991" s="14" t="str">
        <x:v>☐</x:v>
      </x:c>
      <x:c r="B991" s="12" t="n">
        <x:v>990</x:v>
      </x:c>
      <x:c r="C991" s="16" t="e">
        <x:f>HYPERLINK("https://pokecottage.com/pokemon-master-sets/iron-treads","Iron Treads")</x:f>
        <x:v>HYPERLINK is not implemented. linkLocation=https://pokecottage.com/pokemon-master-sets/iron-treads, friendlyName=Iron Treads</x:v>
      </x:c>
      <x:c r="D991" s="8" t="str">
        <x:v>Gen 9 • Paldea</x:v>
      </x:c>
      <x:c r="E991" s="8"/>
      <x:c r="F991" s="8"/>
    </x:row>
    <x:row r="992" ht="25" customHeight="1">
      <x:c r="A992" s="13" t="str">
        <x:v>☐</x:v>
      </x:c>
      <x:c r="B992" s="11" t="n">
        <x:v>991</x:v>
      </x:c>
      <x:c r="C992" s="15" t="e">
        <x:f>HYPERLINK("https://pokecottage.com/pokemon-master-sets/iron-bundle","Iron Bundle")</x:f>
        <x:v>HYPERLINK is not implemented. linkLocation=https://pokecottage.com/pokemon-master-sets/iron-bundle, friendlyName=Iron Bundle</x:v>
      </x:c>
      <x:c r="D992" s="7" t="str">
        <x:v>Gen 9 • Paldea</x:v>
      </x:c>
      <x:c r="E992" s="7"/>
      <x:c r="F992" s="7"/>
    </x:row>
    <x:row r="993" ht="25" customHeight="1">
      <x:c r="A993" s="14" t="str">
        <x:v>☐</x:v>
      </x:c>
      <x:c r="B993" s="12" t="n">
        <x:v>992</x:v>
      </x:c>
      <x:c r="C993" s="16" t="e">
        <x:f>HYPERLINK("https://pokecottage.com/pokemon-master-sets/iron-hands","Iron Hands")</x:f>
        <x:v>HYPERLINK is not implemented. linkLocation=https://pokecottage.com/pokemon-master-sets/iron-hands, friendlyName=Iron Hands</x:v>
      </x:c>
      <x:c r="D993" s="8" t="str">
        <x:v>Gen 9 • Paldea</x:v>
      </x:c>
      <x:c r="E993" s="8"/>
      <x:c r="F993" s="8"/>
    </x:row>
    <x:row r="994" ht="25" customHeight="1">
      <x:c r="A994" s="13" t="str">
        <x:v>☐</x:v>
      </x:c>
      <x:c r="B994" s="11" t="n">
        <x:v>993</x:v>
      </x:c>
      <x:c r="C994" s="15" t="e">
        <x:f>HYPERLINK("https://pokecottage.com/pokemon-master-sets/iron-jugulis","Iron Jugulis")</x:f>
        <x:v>HYPERLINK is not implemented. linkLocation=https://pokecottage.com/pokemon-master-sets/iron-jugulis, friendlyName=Iron Jugulis</x:v>
      </x:c>
      <x:c r="D994" s="7" t="str">
        <x:v>Gen 9 • Paldea</x:v>
      </x:c>
      <x:c r="E994" s="7"/>
      <x:c r="F994" s="7"/>
    </x:row>
    <x:row r="995" ht="25" customHeight="1">
      <x:c r="A995" s="14" t="str">
        <x:v>☐</x:v>
      </x:c>
      <x:c r="B995" s="12" t="n">
        <x:v>994</x:v>
      </x:c>
      <x:c r="C995" s="16" t="e">
        <x:f>HYPERLINK("https://pokecottage.com/pokemon-master-sets/iron-moth","Iron Moth")</x:f>
        <x:v>HYPERLINK is not implemented. linkLocation=https://pokecottage.com/pokemon-master-sets/iron-moth, friendlyName=Iron Moth</x:v>
      </x:c>
      <x:c r="D995" s="8" t="str">
        <x:v>Gen 9 • Paldea</x:v>
      </x:c>
      <x:c r="E995" s="8"/>
      <x:c r="F995" s="8"/>
    </x:row>
    <x:row r="996" ht="25" customHeight="1">
      <x:c r="A996" s="13" t="str">
        <x:v>☐</x:v>
      </x:c>
      <x:c r="B996" s="11" t="n">
        <x:v>995</x:v>
      </x:c>
      <x:c r="C996" s="15" t="e">
        <x:f>HYPERLINK("https://pokecottage.com/pokemon-master-sets/iron-thorns","Iron Thorns")</x:f>
        <x:v>HYPERLINK is not implemented. linkLocation=https://pokecottage.com/pokemon-master-sets/iron-thorns, friendlyName=Iron Thorns</x:v>
      </x:c>
      <x:c r="D996" s="7" t="str">
        <x:v>Gen 9 • Paldea</x:v>
      </x:c>
      <x:c r="E996" s="7"/>
      <x:c r="F996" s="7"/>
    </x:row>
    <x:row r="997" ht="25" customHeight="1">
      <x:c r="A997" s="14" t="str">
        <x:v>☐</x:v>
      </x:c>
      <x:c r="B997" s="12" t="n">
        <x:v>996</x:v>
      </x:c>
      <x:c r="C997" s="16" t="e">
        <x:f>HYPERLINK("https://pokecottage.com/pokemon-master-sets/frigibax","Frigibax")</x:f>
        <x:v>HYPERLINK is not implemented. linkLocation=https://pokecottage.com/pokemon-master-sets/frigibax, friendlyName=Frigibax</x:v>
      </x:c>
      <x:c r="D997" s="8" t="str">
        <x:v>Gen 9 • Paldea</x:v>
      </x:c>
      <x:c r="E997" s="8"/>
      <x:c r="F997" s="8"/>
    </x:row>
    <x:row r="998" ht="25" customHeight="1">
      <x:c r="A998" s="13" t="str">
        <x:v>☐</x:v>
      </x:c>
      <x:c r="B998" s="11" t="n">
        <x:v>997</x:v>
      </x:c>
      <x:c r="C998" s="15" t="e">
        <x:f>HYPERLINK("https://pokecottage.com/pokemon-master-sets/arctibax","Arctibax")</x:f>
        <x:v>HYPERLINK is not implemented. linkLocation=https://pokecottage.com/pokemon-master-sets/arctibax, friendlyName=Arctibax</x:v>
      </x:c>
      <x:c r="D998" s="7" t="str">
        <x:v>Gen 9 • Paldea</x:v>
      </x:c>
      <x:c r="E998" s="7"/>
      <x:c r="F998" s="7"/>
    </x:row>
    <x:row r="999" ht="25" customHeight="1">
      <x:c r="A999" s="14" t="str">
        <x:v>☐</x:v>
      </x:c>
      <x:c r="B999" s="12" t="n">
        <x:v>998</x:v>
      </x:c>
      <x:c r="C999" s="16" t="e">
        <x:f>HYPERLINK("https://pokecottage.com/pokemon-master-sets/baxcalibur","Baxcalibur")</x:f>
        <x:v>HYPERLINK is not implemented. linkLocation=https://pokecottage.com/pokemon-master-sets/baxcalibur, friendlyName=Baxcalibur</x:v>
      </x:c>
      <x:c r="D999" s="8" t="str">
        <x:v>Gen 9 • Paldea</x:v>
      </x:c>
      <x:c r="E999" s="8"/>
      <x:c r="F999" s="8"/>
    </x:row>
    <x:row r="1000" ht="25" customHeight="1">
      <x:c r="A1000" s="13" t="str">
        <x:v>☐</x:v>
      </x:c>
      <x:c r="B1000" s="11" t="n">
        <x:v>999</x:v>
      </x:c>
      <x:c r="C1000" s="15" t="e">
        <x:f>HYPERLINK("https://pokecottage.com/pokemon-master-sets/gimmighoul","Gimmighoul")</x:f>
        <x:v>HYPERLINK is not implemented. linkLocation=https://pokecottage.com/pokemon-master-sets/gimmighoul, friendlyName=Gimmighoul</x:v>
      </x:c>
      <x:c r="D1000" s="7" t="str">
        <x:v>Gen 9 • Paldea</x:v>
      </x:c>
      <x:c r="E1000" s="7"/>
      <x:c r="F1000" s="7"/>
    </x:row>
    <x:row r="1001" ht="25" customHeight="1">
      <x:c r="A1001" s="14" t="str">
        <x:v>☐</x:v>
      </x:c>
      <x:c r="B1001" s="12" t="n">
        <x:v>1000</x:v>
      </x:c>
      <x:c r="C1001" s="16" t="e">
        <x:f>HYPERLINK("https://pokecottage.com/pokemon-master-sets/gholdengo","Gholdengo")</x:f>
        <x:v>HYPERLINK is not implemented. linkLocation=https://pokecottage.com/pokemon-master-sets/gholdengo, friendlyName=Gholdengo</x:v>
      </x:c>
      <x:c r="D1001" s="8" t="str">
        <x:v>Gen 9 • Paldea</x:v>
      </x:c>
      <x:c r="E1001" s="8"/>
      <x:c r="F1001" s="8"/>
    </x:row>
    <x:row r="1002" ht="25" customHeight="1">
      <x:c r="A1002" s="13" t="str">
        <x:v>☐</x:v>
      </x:c>
      <x:c r="B1002" s="11" t="n">
        <x:v>1001</x:v>
      </x:c>
      <x:c r="C1002" s="15" t="e">
        <x:f>HYPERLINK("https://pokecottage.com/pokemon-master-sets/wo-chien","Wo-Chien")</x:f>
        <x:v>HYPERLINK is not implemented. linkLocation=https://pokecottage.com/pokemon-master-sets/wo-chien, friendlyName=Wo-Chien</x:v>
      </x:c>
      <x:c r="D1002" s="7" t="str">
        <x:v>Gen 9 • Paldea</x:v>
      </x:c>
      <x:c r="E1002" s="7"/>
      <x:c r="F1002" s="7"/>
    </x:row>
    <x:row r="1003" ht="25" customHeight="1">
      <x:c r="A1003" s="14" t="str">
        <x:v>☐</x:v>
      </x:c>
      <x:c r="B1003" s="12" t="n">
        <x:v>1002</x:v>
      </x:c>
      <x:c r="C1003" s="16" t="e">
        <x:f>HYPERLINK("https://pokecottage.com/pokemon-master-sets/chien-pao","Chien-Pao")</x:f>
        <x:v>HYPERLINK is not implemented. linkLocation=https://pokecottage.com/pokemon-master-sets/chien-pao, friendlyName=Chien-Pao</x:v>
      </x:c>
      <x:c r="D1003" s="8" t="str">
        <x:v>Gen 9 • Paldea</x:v>
      </x:c>
      <x:c r="E1003" s="8"/>
      <x:c r="F1003" s="8"/>
    </x:row>
    <x:row r="1004" ht="25" customHeight="1">
      <x:c r="A1004" s="13" t="str">
        <x:v>☐</x:v>
      </x:c>
      <x:c r="B1004" s="11" t="n">
        <x:v>1003</x:v>
      </x:c>
      <x:c r="C1004" s="15" t="e">
        <x:f>HYPERLINK("https://pokecottage.com/pokemon-master-sets/ting-lu","Ting-Lu")</x:f>
        <x:v>HYPERLINK is not implemented. linkLocation=https://pokecottage.com/pokemon-master-sets/ting-lu, friendlyName=Ting-Lu</x:v>
      </x:c>
      <x:c r="D1004" s="7" t="str">
        <x:v>Gen 9 • Paldea</x:v>
      </x:c>
      <x:c r="E1004" s="7"/>
      <x:c r="F1004" s="7"/>
    </x:row>
    <x:row r="1005" ht="25" customHeight="1">
      <x:c r="A1005" s="14" t="str">
        <x:v>☐</x:v>
      </x:c>
      <x:c r="B1005" s="12" t="n">
        <x:v>1004</x:v>
      </x:c>
      <x:c r="C1005" s="16" t="e">
        <x:f>HYPERLINK("https://pokecottage.com/pokemon-master-sets/chi-yu","Chi-Yu")</x:f>
        <x:v>HYPERLINK is not implemented. linkLocation=https://pokecottage.com/pokemon-master-sets/chi-yu, friendlyName=Chi-Yu</x:v>
      </x:c>
      <x:c r="D1005" s="8" t="str">
        <x:v>Gen 9 • Paldea</x:v>
      </x:c>
      <x:c r="E1005" s="8"/>
      <x:c r="F1005" s="8"/>
    </x:row>
    <x:row r="1006" ht="25" customHeight="1">
      <x:c r="A1006" s="13" t="str">
        <x:v>☐</x:v>
      </x:c>
      <x:c r="B1006" s="11" t="n">
        <x:v>1005</x:v>
      </x:c>
      <x:c r="C1006" s="15" t="e">
        <x:f>HYPERLINK("https://pokecottage.com/pokemon-master-sets/roaring-moon","Roaring Moon")</x:f>
        <x:v>HYPERLINK is not implemented. linkLocation=https://pokecottage.com/pokemon-master-sets/roaring-moon, friendlyName=Roaring Moon</x:v>
      </x:c>
      <x:c r="D1006" s="7" t="str">
        <x:v>Gen 9 • Paldea</x:v>
      </x:c>
      <x:c r="E1006" s="7"/>
      <x:c r="F1006" s="7"/>
    </x:row>
    <x:row r="1007" ht="25" customHeight="1">
      <x:c r="A1007" s="14" t="str">
        <x:v>☐</x:v>
      </x:c>
      <x:c r="B1007" s="12" t="n">
        <x:v>1006</x:v>
      </x:c>
      <x:c r="C1007" s="16" t="e">
        <x:f>HYPERLINK("https://pokecottage.com/pokemon-master-sets/iron-valiant","Iron Valiant")</x:f>
        <x:v>HYPERLINK is not implemented. linkLocation=https://pokecottage.com/pokemon-master-sets/iron-valiant, friendlyName=Iron Valiant</x:v>
      </x:c>
      <x:c r="D1007" s="8" t="str">
        <x:v>Gen 9 • Paldea</x:v>
      </x:c>
      <x:c r="E1007" s="8"/>
      <x:c r="F1007" s="8"/>
    </x:row>
    <x:row r="1008" ht="25" customHeight="1">
      <x:c r="A1008" s="13" t="str">
        <x:v>☐</x:v>
      </x:c>
      <x:c r="B1008" s="11" t="n">
        <x:v>1007</x:v>
      </x:c>
      <x:c r="C1008" s="15" t="e">
        <x:f>HYPERLINK("https://pokecottage.com/pokemon-master-sets/koraidon","Koraidon")</x:f>
        <x:v>HYPERLINK is not implemented. linkLocation=https://pokecottage.com/pokemon-master-sets/koraidon, friendlyName=Koraidon</x:v>
      </x:c>
      <x:c r="D1008" s="7" t="str">
        <x:v>Gen 9 • Paldea</x:v>
      </x:c>
      <x:c r="E1008" s="7"/>
      <x:c r="F1008" s="7"/>
    </x:row>
    <x:row r="1009" ht="25" customHeight="1">
      <x:c r="A1009" s="14" t="str">
        <x:v>☐</x:v>
      </x:c>
      <x:c r="B1009" s="12" t="n">
        <x:v>1008</x:v>
      </x:c>
      <x:c r="C1009" s="16" t="e">
        <x:f>HYPERLINK("https://pokecottage.com/pokemon-master-sets/miraidon","Miraidon")</x:f>
        <x:v>HYPERLINK is not implemented. linkLocation=https://pokecottage.com/pokemon-master-sets/miraidon, friendlyName=Miraidon</x:v>
      </x:c>
      <x:c r="D1009" s="8" t="str">
        <x:v>Gen 9 • Paldea</x:v>
      </x:c>
      <x:c r="E1009" s="8"/>
      <x:c r="F1009" s="8"/>
    </x:row>
    <x:row r="1010" ht="25" customHeight="1">
      <x:c r="A1010" s="13" t="str">
        <x:v>☐</x:v>
      </x:c>
      <x:c r="B1010" s="11" t="n">
        <x:v>1009</x:v>
      </x:c>
      <x:c r="C1010" s="15" t="e">
        <x:f>HYPERLINK("https://pokecottage.com/pokemon-master-sets/walking-wake","Walking Wake")</x:f>
        <x:v>HYPERLINK is not implemented. linkLocation=https://pokecottage.com/pokemon-master-sets/walking-wake, friendlyName=Walking Wake</x:v>
      </x:c>
      <x:c r="D1010" s="7" t="str">
        <x:v>Gen 9 • Paldea</x:v>
      </x:c>
      <x:c r="E1010" s="7"/>
      <x:c r="F1010" s="7"/>
    </x:row>
    <x:row r="1011" ht="25" customHeight="1">
      <x:c r="A1011" s="14" t="str">
        <x:v>☐</x:v>
      </x:c>
      <x:c r="B1011" s="12" t="n">
        <x:v>1010</x:v>
      </x:c>
      <x:c r="C1011" s="16" t="e">
        <x:f>HYPERLINK("https://pokecottage.com/pokemon-master-sets/iron-leaves","Iron Leaves")</x:f>
        <x:v>HYPERLINK is not implemented. linkLocation=https://pokecottage.com/pokemon-master-sets/iron-leaves, friendlyName=Iron Leaves</x:v>
      </x:c>
      <x:c r="D1011" s="8" t="str">
        <x:v>Gen 9 • Paldea</x:v>
      </x:c>
      <x:c r="E1011" s="8"/>
      <x:c r="F1011" s="8"/>
    </x:row>
    <x:row r="1012" ht="25" customHeight="1">
      <x:c r="A1012" s="13" t="str">
        <x:v>☐</x:v>
      </x:c>
      <x:c r="B1012" s="11" t="n">
        <x:v>1011</x:v>
      </x:c>
      <x:c r="C1012" s="15" t="e">
        <x:f>HYPERLINK("https://pokecottage.com/pokemon-master-sets/dipplin","Dipplin")</x:f>
        <x:v>HYPERLINK is not implemented. linkLocation=https://pokecottage.com/pokemon-master-sets/dipplin, friendlyName=Dipplin</x:v>
      </x:c>
      <x:c r="D1012" s="7" t="str">
        <x:v>Gen 9 • Paldea</x:v>
      </x:c>
      <x:c r="E1012" s="7"/>
      <x:c r="F1012" s="7"/>
    </x:row>
    <x:row r="1013" ht="25" customHeight="1">
      <x:c r="A1013" s="14" t="str">
        <x:v>☐</x:v>
      </x:c>
      <x:c r="B1013" s="12" t="n">
        <x:v>1012</x:v>
      </x:c>
      <x:c r="C1013" s="16" t="e">
        <x:f>HYPERLINK("https://pokecottage.com/pokemon-master-sets/poltchageist","Poltchageist")</x:f>
        <x:v>HYPERLINK is not implemented. linkLocation=https://pokecottage.com/pokemon-master-sets/poltchageist, friendlyName=Poltchageist</x:v>
      </x:c>
      <x:c r="D1013" s="8" t="str">
        <x:v>Gen 9 • Paldea</x:v>
      </x:c>
      <x:c r="E1013" s="8"/>
      <x:c r="F1013" s="8"/>
    </x:row>
    <x:row r="1014" ht="25" customHeight="1">
      <x:c r="A1014" s="13" t="str">
        <x:v>☐</x:v>
      </x:c>
      <x:c r="B1014" s="11" t="n">
        <x:v>1013</x:v>
      </x:c>
      <x:c r="C1014" s="15" t="e">
        <x:f>HYPERLINK("https://pokecottage.com/pokemon-master-sets/sinistcha","Sinistcha")</x:f>
        <x:v>HYPERLINK is not implemented. linkLocation=https://pokecottage.com/pokemon-master-sets/sinistcha, friendlyName=Sinistcha</x:v>
      </x:c>
      <x:c r="D1014" s="7" t="str">
        <x:v>Gen 9 • Paldea</x:v>
      </x:c>
      <x:c r="E1014" s="7"/>
      <x:c r="F1014" s="7"/>
    </x:row>
    <x:row r="1015" ht="25" customHeight="1">
      <x:c r="A1015" s="14" t="str">
        <x:v>☐</x:v>
      </x:c>
      <x:c r="B1015" s="12" t="n">
        <x:v>1014</x:v>
      </x:c>
      <x:c r="C1015" s="16" t="e">
        <x:f>HYPERLINK("https://pokecottage.com/pokemon-master-sets/okidogi","Okidogi")</x:f>
        <x:v>HYPERLINK is not implemented. linkLocation=https://pokecottage.com/pokemon-master-sets/okidogi, friendlyName=Okidogi</x:v>
      </x:c>
      <x:c r="D1015" s="8" t="str">
        <x:v>Gen 9 • Paldea</x:v>
      </x:c>
      <x:c r="E1015" s="8"/>
      <x:c r="F1015" s="8"/>
    </x:row>
    <x:row r="1016" ht="25" customHeight="1">
      <x:c r="A1016" s="13" t="str">
        <x:v>☐</x:v>
      </x:c>
      <x:c r="B1016" s="11" t="n">
        <x:v>1015</x:v>
      </x:c>
      <x:c r="C1016" s="15" t="e">
        <x:f>HYPERLINK("https://pokecottage.com/pokemon-master-sets/munkidori","Munkidori")</x:f>
        <x:v>HYPERLINK is not implemented. linkLocation=https://pokecottage.com/pokemon-master-sets/munkidori, friendlyName=Munkidori</x:v>
      </x:c>
      <x:c r="D1016" s="7" t="str">
        <x:v>Gen 9 • Paldea</x:v>
      </x:c>
      <x:c r="E1016" s="7"/>
      <x:c r="F1016" s="7"/>
    </x:row>
    <x:row r="1017" ht="25" customHeight="1">
      <x:c r="A1017" s="14" t="str">
        <x:v>☐</x:v>
      </x:c>
      <x:c r="B1017" s="12" t="n">
        <x:v>1016</x:v>
      </x:c>
      <x:c r="C1017" s="16" t="e">
        <x:f>HYPERLINK("https://pokecottage.com/pokemon-master-sets/fezandipiti","Fezandipiti")</x:f>
        <x:v>HYPERLINK is not implemented. linkLocation=https://pokecottage.com/pokemon-master-sets/fezandipiti, friendlyName=Fezandipiti</x:v>
      </x:c>
      <x:c r="D1017" s="8" t="str">
        <x:v>Gen 9 • Paldea</x:v>
      </x:c>
      <x:c r="E1017" s="8"/>
      <x:c r="F1017" s="8"/>
    </x:row>
    <x:row r="1018" ht="25" customHeight="1">
      <x:c r="A1018" s="13" t="str">
        <x:v>☐</x:v>
      </x:c>
      <x:c r="B1018" s="11" t="n">
        <x:v>1017</x:v>
      </x:c>
      <x:c r="C1018" s="15" t="e">
        <x:f>HYPERLINK("https://pokecottage.com/pokemon-master-sets/ogerpon","Ogerpon")</x:f>
        <x:v>HYPERLINK is not implemented. linkLocation=https://pokecottage.com/pokemon-master-sets/ogerpon, friendlyName=Ogerpon</x:v>
      </x:c>
      <x:c r="D1018" s="7" t="str">
        <x:v>Gen 9 • Paldea</x:v>
      </x:c>
      <x:c r="E1018" s="7"/>
      <x:c r="F1018" s="7"/>
    </x:row>
    <x:row r="1019" ht="25" customHeight="1">
      <x:c r="A1019" s="14" t="str">
        <x:v>☐</x:v>
      </x:c>
      <x:c r="B1019" s="12" t="n">
        <x:v>1018</x:v>
      </x:c>
      <x:c r="C1019" s="16" t="e">
        <x:f>HYPERLINK("https://pokecottage.com/pokemon-master-sets/archaludon","Archaludon")</x:f>
        <x:v>HYPERLINK is not implemented. linkLocation=https://pokecottage.com/pokemon-master-sets/archaludon, friendlyName=Archaludon</x:v>
      </x:c>
      <x:c r="D1019" s="8" t="str">
        <x:v>Gen 9 • Paldea</x:v>
      </x:c>
      <x:c r="E1019" s="8"/>
      <x:c r="F1019" s="8"/>
    </x:row>
    <x:row r="1020" ht="25" customHeight="1">
      <x:c r="A1020" s="13" t="str">
        <x:v>☐</x:v>
      </x:c>
      <x:c r="B1020" s="11" t="n">
        <x:v>1019</x:v>
      </x:c>
      <x:c r="C1020" s="15" t="e">
        <x:f>HYPERLINK("https://pokecottage.com/pokemon-master-sets/hydrapple","Hydrapple")</x:f>
        <x:v>HYPERLINK is not implemented. linkLocation=https://pokecottage.com/pokemon-master-sets/hydrapple, friendlyName=Hydrapple</x:v>
      </x:c>
      <x:c r="D1020" s="7" t="str">
        <x:v>Gen 9 • Paldea</x:v>
      </x:c>
      <x:c r="E1020" s="7"/>
      <x:c r="F1020" s="7"/>
    </x:row>
    <x:row r="1021" ht="25" customHeight="1">
      <x:c r="A1021" s="14" t="str">
        <x:v>☐</x:v>
      </x:c>
      <x:c r="B1021" s="12" t="n">
        <x:v>1020</x:v>
      </x:c>
      <x:c r="C1021" s="16" t="e">
        <x:f>HYPERLINK("https://pokecottage.com/pokemon-master-sets/gouging-fire","Gouging Fire")</x:f>
        <x:v>HYPERLINK is not implemented. linkLocation=https://pokecottage.com/pokemon-master-sets/gouging-fire, friendlyName=Gouging Fire</x:v>
      </x:c>
      <x:c r="D1021" s="8" t="str">
        <x:v>Gen 9 • Paldea</x:v>
      </x:c>
      <x:c r="E1021" s="8"/>
      <x:c r="F1021" s="8"/>
    </x:row>
    <x:row r="1022" ht="25" customHeight="1">
      <x:c r="A1022" s="13" t="str">
        <x:v>☐</x:v>
      </x:c>
      <x:c r="B1022" s="11" t="n">
        <x:v>1021</x:v>
      </x:c>
      <x:c r="C1022" s="15" t="e">
        <x:f>HYPERLINK("https://pokecottage.com/pokemon-master-sets/raging-bolt","Raging Bolt")</x:f>
        <x:v>HYPERLINK is not implemented. linkLocation=https://pokecottage.com/pokemon-master-sets/raging-bolt, friendlyName=Raging Bolt</x:v>
      </x:c>
      <x:c r="D1022" s="7" t="str">
        <x:v>Gen 9 • Paldea</x:v>
      </x:c>
      <x:c r="E1022" s="7"/>
      <x:c r="F1022" s="7"/>
    </x:row>
    <x:row r="1023" ht="25" customHeight="1">
      <x:c r="A1023" s="14" t="str">
        <x:v>☐</x:v>
      </x:c>
      <x:c r="B1023" s="12" t="n">
        <x:v>1022</x:v>
      </x:c>
      <x:c r="C1023" s="16" t="e">
        <x:f>HYPERLINK("https://pokecottage.com/pokemon-master-sets/iron-boulder","Iron Boulder")</x:f>
        <x:v>HYPERLINK is not implemented. linkLocation=https://pokecottage.com/pokemon-master-sets/iron-boulder, friendlyName=Iron Boulder</x:v>
      </x:c>
      <x:c r="D1023" s="8" t="str">
        <x:v>Gen 9 • Paldea</x:v>
      </x:c>
      <x:c r="E1023" s="8"/>
      <x:c r="F1023" s="8"/>
    </x:row>
    <x:row r="1024" ht="25" customHeight="1">
      <x:c r="A1024" s="13" t="str">
        <x:v>☐</x:v>
      </x:c>
      <x:c r="B1024" s="11" t="n">
        <x:v>1023</x:v>
      </x:c>
      <x:c r="C1024" s="15" t="e">
        <x:f>HYPERLINK("https://pokecottage.com/pokemon-master-sets/iron-crown","Iron Crown")</x:f>
        <x:v>HYPERLINK is not implemented. linkLocation=https://pokecottage.com/pokemon-master-sets/iron-crown, friendlyName=Iron Crown</x:v>
      </x:c>
      <x:c r="D1024" s="7" t="str">
        <x:v>Gen 9 • Paldea</x:v>
      </x:c>
      <x:c r="E1024" s="7"/>
      <x:c r="F1024" s="7"/>
    </x:row>
    <x:row r="1025" ht="25" customHeight="1">
      <x:c r="A1025" s="14" t="str">
        <x:v>☐</x:v>
      </x:c>
      <x:c r="B1025" s="12" t="n">
        <x:v>1024</x:v>
      </x:c>
      <x:c r="C1025" s="16" t="e">
        <x:f>HYPERLINK("https://pokecottage.com/pokemon-master-sets/terapagos","Terapagos")</x:f>
        <x:v>HYPERLINK is not implemented. linkLocation=https://pokecottage.com/pokemon-master-sets/terapagos, friendlyName=Terapagos</x:v>
      </x:c>
      <x:c r="D1025" s="8" t="str">
        <x:v>Gen 9 • Paldea</x:v>
      </x:c>
      <x:c r="E1025" s="8"/>
      <x:c r="F1025" s="8"/>
    </x:row>
    <x:row r="1026" ht="25" customHeight="1">
      <x:c r="A1026" s="18" t="str">
        <x:v>☐</x:v>
      </x:c>
      <x:c r="B1026" s="19" t="n">
        <x:v>1025</x:v>
      </x:c>
      <x:c r="C1026" s="20" t="e">
        <x:f>HYPERLINK("https://pokecottage.com/pokemon-master-sets/pecharunt","Pecharunt")</x:f>
        <x:v>HYPERLINK is not implemented. linkLocation=https://pokecottage.com/pokemon-master-sets/pecharunt, friendlyName=Pecharunt</x:v>
      </x:c>
      <x:c r="D1026" s="21" t="str">
        <x:v>Gen 9 • Paldea</x:v>
      </x:c>
      <x:c r="E1026" s="21"/>
      <x:c r="F1026" s="21"/>
    </x:row>
  </x:sheetData>
  <x:dataValidations count="1">
    <x:dataValidation type="list" allowBlank="0" showDropDown="0" sqref="A2:A1026">
      <x:formula1>"☐,☑"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18" hidden="0" customWidth="1"/>
    <x:col min="3" max="3" width="34" hidden="0" customWidth="1"/>
    <x:col min="4" max="4" width="28" hidden="0" customWidth="1"/>
    <x:col min="5" max="5" width="19" hidden="0" customWidth="1"/>
    <x:col min="6" max="6" width="14" hidden="0" customWidth="1"/>
  </x:cols>
  <x:sheetData>
    <x:row r="1" ht="32" customHeight="1">
      <x:c r="A1" s="4" t="str">
        <x:v>Collected</x:v>
      </x:c>
      <x:c r="B1" s="4" t="str">
        <x:v>National Dex #</x:v>
      </x:c>
      <x:c r="C1" s="4" t="str">
        <x:v>Pokémon Name</x:v>
      </x:c>
      <x:c r="D1" s="4" t="str">
        <x:v>Form / Region</x:v>
      </x:c>
      <x:c r="E1" s="4" t="str">
        <x:v>Progress</x:v>
      </x:c>
      <x:c r="F1" s="17" t="n">
        <x:f>COUNTIF(A2:A1363,"☑")/COUNTA(B2:B1363)</x:f>
        <x:v>0</x:v>
      </x:c>
    </x:row>
    <x:row r="2" ht="25" customHeight="1">
      <x:c r="A2" s="13" t="str">
        <x:v>☐</x:v>
      </x:c>
      <x:c r="B2" s="11" t="n">
        <x:v>1</x:v>
      </x:c>
      <x:c r="C2" s="15" t="e">
        <x:f>HYPERLINK("https://pokecottage.com/pokemon-master-sets/bulbasaur","Bulbasaur")</x:f>
        <x:v>HYPERLINK is not implemented. linkLocation=https://pokecottage.com/pokemon-master-sets/bulbasaur, friendlyName=Bulbasaur</x:v>
      </x:c>
      <x:c r="D2" s="7" t="str">
        <x:v>Gen 1 • Kanto</x:v>
      </x:c>
      <x:c r="E2" s="7"/>
      <x:c r="F2" s="7"/>
    </x:row>
    <x:row r="3" ht="25" customHeight="1">
      <x:c r="A3" s="14" t="str">
        <x:v>☐</x:v>
      </x:c>
      <x:c r="B3" s="12" t="n">
        <x:v>2</x:v>
      </x:c>
      <x:c r="C3" s="16" t="e">
        <x:f>HYPERLINK("https://pokecottage.com/pokemon-master-sets/ivysaur","Ivysaur")</x:f>
        <x:v>HYPERLINK is not implemented. linkLocation=https://pokecottage.com/pokemon-master-sets/ivysaur, friendlyName=Ivysaur</x:v>
      </x:c>
      <x:c r="D3" s="8" t="str">
        <x:v>Gen 1 • Kanto</x:v>
      </x:c>
      <x:c r="E3" s="8"/>
      <x:c r="F3" s="8"/>
    </x:row>
    <x:row r="4" ht="25" customHeight="1">
      <x:c r="A4" s="13" t="str">
        <x:v>☐</x:v>
      </x:c>
      <x:c r="B4" s="11" t="n">
        <x:v>3</x:v>
      </x:c>
      <x:c r="C4" s="15" t="e">
        <x:f>HYPERLINK("https://pokecottage.com/pokemon-master-sets/venusaur","Venusaur")</x:f>
        <x:v>HYPERLINK is not implemented. linkLocation=https://pokecottage.com/pokemon-master-sets/venusaur, friendlyName=Venusaur</x:v>
      </x:c>
      <x:c r="D4" s="7" t="str">
        <x:v>Gen 1 • Kanto</x:v>
      </x:c>
      <x:c r="E4" s="7"/>
      <x:c r="F4" s="7"/>
    </x:row>
    <x:row r="5" ht="25" customHeight="1">
      <x:c r="A5" s="14" t="str">
        <x:v>☐</x:v>
      </x:c>
      <x:c r="B5" s="12" t="n">
        <x:v>3</x:v>
      </x:c>
      <x:c r="C5" s="16" t="e">
        <x:f>HYPERLINK("https://pokecottage.com/pokemon-master-sets/venusaur","Mega Venusaur")</x:f>
        <x:v>HYPERLINK is not implemented. linkLocation=https://pokecottage.com/pokemon-master-sets/venusaur, friendlyName=Mega Venusaur</x:v>
      </x:c>
      <x:c r="D5" s="8" t="str">
        <x:v>Mega Evolution</x:v>
      </x:c>
      <x:c r="E5" s="8"/>
      <x:c r="F5" s="8"/>
    </x:row>
    <x:row r="6" ht="25" customHeight="1">
      <x:c r="A6" s="13" t="str">
        <x:v>☐</x:v>
      </x:c>
      <x:c r="B6" s="11" t="n">
        <x:v>3</x:v>
      </x:c>
      <x:c r="C6" s="15" t="e">
        <x:f>HYPERLINK("https://pokecottage.com/pokemon-master-sets/venusaur","Gigantamax Venusaur")</x:f>
        <x:v>HYPERLINK is not implemented. linkLocation=https://pokecottage.com/pokemon-master-sets/venusaur, friendlyName=Gigantamax Venusaur</x:v>
      </x:c>
      <x:c r="D6" s="7" t="str">
        <x:v>Gigantamax</x:v>
      </x:c>
      <x:c r="E6" s="7"/>
      <x:c r="F6" s="7"/>
    </x:row>
    <x:row r="7" ht="25" customHeight="1">
      <x:c r="A7" s="14" t="str">
        <x:v>☐</x:v>
      </x:c>
      <x:c r="B7" s="12" t="n">
        <x:v>4</x:v>
      </x:c>
      <x:c r="C7" s="16" t="e">
        <x:f>HYPERLINK("https://pokecottage.com/pokemon-master-sets/charmander","Charmander")</x:f>
        <x:v>HYPERLINK is not implemented. linkLocation=https://pokecottage.com/pokemon-master-sets/charmander, friendlyName=Charmander</x:v>
      </x:c>
      <x:c r="D7" s="8" t="str">
        <x:v>Gen 1 • Kanto</x:v>
      </x:c>
      <x:c r="E7" s="8"/>
      <x:c r="F7" s="8"/>
    </x:row>
    <x:row r="8" ht="25" customHeight="1">
      <x:c r="A8" s="13" t="str">
        <x:v>☐</x:v>
      </x:c>
      <x:c r="B8" s="11" t="n">
        <x:v>5</x:v>
      </x:c>
      <x:c r="C8" s="15" t="e">
        <x:f>HYPERLINK("https://pokecottage.com/pokemon-master-sets/charmeleon","Charmeleon")</x:f>
        <x:v>HYPERLINK is not implemented. linkLocation=https://pokecottage.com/pokemon-master-sets/charmeleon, friendlyName=Charmeleon</x:v>
      </x:c>
      <x:c r="D8" s="7" t="str">
        <x:v>Gen 1 • Kanto</x:v>
      </x:c>
      <x:c r="E8" s="7"/>
      <x:c r="F8" s="7"/>
    </x:row>
    <x:row r="9" ht="25" customHeight="1">
      <x:c r="A9" s="14" t="str">
        <x:v>☐</x:v>
      </x:c>
      <x:c r="B9" s="12" t="n">
        <x:v>6</x:v>
      </x:c>
      <x:c r="C9" s="16" t="e">
        <x:f>HYPERLINK("https://pokecottage.com/pokemon-master-sets/charizard","Charizard")</x:f>
        <x:v>HYPERLINK is not implemented. linkLocation=https://pokecottage.com/pokemon-master-sets/charizard, friendlyName=Charizard</x:v>
      </x:c>
      <x:c r="D9" s="8" t="str">
        <x:v>Gen 1 • Kanto</x:v>
      </x:c>
      <x:c r="E9" s="8"/>
      <x:c r="F9" s="8"/>
    </x:row>
    <x:row r="10" ht="25" customHeight="1">
      <x:c r="A10" s="13" t="str">
        <x:v>☐</x:v>
      </x:c>
      <x:c r="B10" s="11" t="n">
        <x:v>6</x:v>
      </x:c>
      <x:c r="C10" s="15" t="e">
        <x:f>HYPERLINK("https://pokecottage.com/pokemon-master-sets/charizard","Mega Charizard X")</x:f>
        <x:v>HYPERLINK is not implemented. linkLocation=https://pokecottage.com/pokemon-master-sets/charizard, friendlyName=Mega Charizard X</x:v>
      </x:c>
      <x:c r="D10" s="7" t="str">
        <x:v>Mega Evolution</x:v>
      </x:c>
      <x:c r="E10" s="7"/>
      <x:c r="F10" s="7"/>
    </x:row>
    <x:row r="11" ht="25" customHeight="1">
      <x:c r="A11" s="14" t="str">
        <x:v>☐</x:v>
      </x:c>
      <x:c r="B11" s="12" t="n">
        <x:v>6</x:v>
      </x:c>
      <x:c r="C11" s="16" t="e">
        <x:f>HYPERLINK("https://pokecottage.com/pokemon-master-sets/charizard","Mega Charizard Y")</x:f>
        <x:v>HYPERLINK is not implemented. linkLocation=https://pokecottage.com/pokemon-master-sets/charizard, friendlyName=Mega Charizard Y</x:v>
      </x:c>
      <x:c r="D11" s="8" t="str">
        <x:v>Mega Evolution</x:v>
      </x:c>
      <x:c r="E11" s="8"/>
      <x:c r="F11" s="8"/>
    </x:row>
    <x:row r="12" ht="25" customHeight="1">
      <x:c r="A12" s="13" t="str">
        <x:v>☐</x:v>
      </x:c>
      <x:c r="B12" s="11" t="n">
        <x:v>6</x:v>
      </x:c>
      <x:c r="C12" s="15" t="e">
        <x:f>HYPERLINK("https://pokecottage.com/pokemon-master-sets/charizard","Gigantamax Charizard")</x:f>
        <x:v>HYPERLINK is not implemented. linkLocation=https://pokecottage.com/pokemon-master-sets/charizard, friendlyName=Gigantamax Charizard</x:v>
      </x:c>
      <x:c r="D12" s="7" t="str">
        <x:v>Gigantamax</x:v>
      </x:c>
      <x:c r="E12" s="7"/>
      <x:c r="F12" s="7"/>
    </x:row>
    <x:row r="13" ht="25" customHeight="1">
      <x:c r="A13" s="14" t="str">
        <x:v>☐</x:v>
      </x:c>
      <x:c r="B13" s="12" t="n">
        <x:v>7</x:v>
      </x:c>
      <x:c r="C13" s="16" t="e">
        <x:f>HYPERLINK("https://pokecottage.com/pokemon-master-sets/squirtle","Squirtle")</x:f>
        <x:v>HYPERLINK is not implemented. linkLocation=https://pokecottage.com/pokemon-master-sets/squirtle, friendlyName=Squirtle</x:v>
      </x:c>
      <x:c r="D13" s="8" t="str">
        <x:v>Gen 1 • Kanto</x:v>
      </x:c>
      <x:c r="E13" s="8"/>
      <x:c r="F13" s="8"/>
    </x:row>
    <x:row r="14" ht="25" customHeight="1">
      <x:c r="A14" s="13" t="str">
        <x:v>☐</x:v>
      </x:c>
      <x:c r="B14" s="11" t="n">
        <x:v>8</x:v>
      </x:c>
      <x:c r="C14" s="15" t="e">
        <x:f>HYPERLINK("https://pokecottage.com/pokemon-master-sets/wartortle","Wartortle")</x:f>
        <x:v>HYPERLINK is not implemented. linkLocation=https://pokecottage.com/pokemon-master-sets/wartortle, friendlyName=Wartortle</x:v>
      </x:c>
      <x:c r="D14" s="7" t="str">
        <x:v>Gen 1 • Kanto</x:v>
      </x:c>
      <x:c r="E14" s="7"/>
      <x:c r="F14" s="7"/>
    </x:row>
    <x:row r="15" ht="25" customHeight="1">
      <x:c r="A15" s="14" t="str">
        <x:v>☐</x:v>
      </x:c>
      <x:c r="B15" s="12" t="n">
        <x:v>9</x:v>
      </x:c>
      <x:c r="C15" s="16" t="e">
        <x:f>HYPERLINK("https://pokecottage.com/pokemon-master-sets/blastoise","Blastoise")</x:f>
        <x:v>HYPERLINK is not implemented. linkLocation=https://pokecottage.com/pokemon-master-sets/blastoise, friendlyName=Blastoise</x:v>
      </x:c>
      <x:c r="D15" s="8" t="str">
        <x:v>Gen 1 • Kanto</x:v>
      </x:c>
      <x:c r="E15" s="8"/>
      <x:c r="F15" s="8"/>
    </x:row>
    <x:row r="16" ht="25" customHeight="1">
      <x:c r="A16" s="13" t="str">
        <x:v>☐</x:v>
      </x:c>
      <x:c r="B16" s="11" t="n">
        <x:v>9</x:v>
      </x:c>
      <x:c r="C16" s="15" t="e">
        <x:f>HYPERLINK("https://pokecottage.com/pokemon-master-sets/blastoise","Mega Blastoise")</x:f>
        <x:v>HYPERLINK is not implemented. linkLocation=https://pokecottage.com/pokemon-master-sets/blastoise, friendlyName=Mega Blastoise</x:v>
      </x:c>
      <x:c r="D16" s="7" t="str">
        <x:v>Mega Evolution</x:v>
      </x:c>
      <x:c r="E16" s="7"/>
      <x:c r="F16" s="7"/>
    </x:row>
    <x:row r="17" ht="25" customHeight="1">
      <x:c r="A17" s="14" t="str">
        <x:v>☐</x:v>
      </x:c>
      <x:c r="B17" s="12" t="n">
        <x:v>9</x:v>
      </x:c>
      <x:c r="C17" s="16" t="e">
        <x:f>HYPERLINK("https://pokecottage.com/pokemon-master-sets/blastoise","Gigantamax Blastoise")</x:f>
        <x:v>HYPERLINK is not implemented. linkLocation=https://pokecottage.com/pokemon-master-sets/blastoise, friendlyName=Gigantamax Blastoise</x:v>
      </x:c>
      <x:c r="D17" s="8" t="str">
        <x:v>Gigantamax</x:v>
      </x:c>
      <x:c r="E17" s="8"/>
      <x:c r="F17" s="8"/>
    </x:row>
    <x:row r="18" ht="25" customHeight="1">
      <x:c r="A18" s="13" t="str">
        <x:v>☐</x:v>
      </x:c>
      <x:c r="B18" s="11" t="n">
        <x:v>10</x:v>
      </x:c>
      <x:c r="C18" s="15" t="e">
        <x:f>HYPERLINK("https://pokecottage.com/pokemon-master-sets/caterpie","Caterpie")</x:f>
        <x:v>HYPERLINK is not implemented. linkLocation=https://pokecottage.com/pokemon-master-sets/caterpie, friendlyName=Caterpie</x:v>
      </x:c>
      <x:c r="D18" s="7" t="str">
        <x:v>Gen 1 • Kanto</x:v>
      </x:c>
      <x:c r="E18" s="7"/>
      <x:c r="F18" s="7"/>
    </x:row>
    <x:row r="19" ht="25" customHeight="1">
      <x:c r="A19" s="14" t="str">
        <x:v>☐</x:v>
      </x:c>
      <x:c r="B19" s="12" t="n">
        <x:v>11</x:v>
      </x:c>
      <x:c r="C19" s="16" t="e">
        <x:f>HYPERLINK("https://pokecottage.com/pokemon-master-sets/metapod","Metapod")</x:f>
        <x:v>HYPERLINK is not implemented. linkLocation=https://pokecottage.com/pokemon-master-sets/metapod, friendlyName=Metapod</x:v>
      </x:c>
      <x:c r="D19" s="8" t="str">
        <x:v>Gen 1 • Kanto</x:v>
      </x:c>
      <x:c r="E19" s="8"/>
      <x:c r="F19" s="8"/>
    </x:row>
    <x:row r="20" ht="25" customHeight="1">
      <x:c r="A20" s="13" t="str">
        <x:v>☐</x:v>
      </x:c>
      <x:c r="B20" s="11" t="n">
        <x:v>12</x:v>
      </x:c>
      <x:c r="C20" s="15" t="e">
        <x:f>HYPERLINK("https://pokecottage.com/pokemon-master-sets/butterfree","Butterfree")</x:f>
        <x:v>HYPERLINK is not implemented. linkLocation=https://pokecottage.com/pokemon-master-sets/butterfree, friendlyName=Butterfree</x:v>
      </x:c>
      <x:c r="D20" s="7" t="str">
        <x:v>Gen 1 • Kanto</x:v>
      </x:c>
      <x:c r="E20" s="7"/>
      <x:c r="F20" s="7"/>
    </x:row>
    <x:row r="21" ht="25" customHeight="1">
      <x:c r="A21" s="14" t="str">
        <x:v>☐</x:v>
      </x:c>
      <x:c r="B21" s="12" t="n">
        <x:v>12</x:v>
      </x:c>
      <x:c r="C21" s="16" t="e">
        <x:f>HYPERLINK("https://pokecottage.com/pokemon-master-sets/butterfree","Gigantamax Butterfree")</x:f>
        <x:v>HYPERLINK is not implemented. linkLocation=https://pokecottage.com/pokemon-master-sets/butterfree, friendlyName=Gigantamax Butterfree</x:v>
      </x:c>
      <x:c r="D21" s="8" t="str">
        <x:v>Gigantamax</x:v>
      </x:c>
      <x:c r="E21" s="8"/>
      <x:c r="F21" s="8"/>
    </x:row>
    <x:row r="22" ht="25" customHeight="1">
      <x:c r="A22" s="13" t="str">
        <x:v>☐</x:v>
      </x:c>
      <x:c r="B22" s="11" t="n">
        <x:v>13</x:v>
      </x:c>
      <x:c r="C22" s="15" t="e">
        <x:f>HYPERLINK("https://pokecottage.com/pokemon-master-sets/weedle","Weedle")</x:f>
        <x:v>HYPERLINK is not implemented. linkLocation=https://pokecottage.com/pokemon-master-sets/weedle, friendlyName=Weedle</x:v>
      </x:c>
      <x:c r="D22" s="7" t="str">
        <x:v>Gen 1 • Kanto</x:v>
      </x:c>
      <x:c r="E22" s="7"/>
      <x:c r="F22" s="7"/>
    </x:row>
    <x:row r="23" ht="25" customHeight="1">
      <x:c r="A23" s="14" t="str">
        <x:v>☐</x:v>
      </x:c>
      <x:c r="B23" s="12" t="n">
        <x:v>14</x:v>
      </x:c>
      <x:c r="C23" s="16" t="e">
        <x:f>HYPERLINK("https://pokecottage.com/pokemon-master-sets/kakuna","Kakuna")</x:f>
        <x:v>HYPERLINK is not implemented. linkLocation=https://pokecottage.com/pokemon-master-sets/kakuna, friendlyName=Kakuna</x:v>
      </x:c>
      <x:c r="D23" s="8" t="str">
        <x:v>Gen 1 • Kanto</x:v>
      </x:c>
      <x:c r="E23" s="8"/>
      <x:c r="F23" s="8"/>
    </x:row>
    <x:row r="24" ht="25" customHeight="1">
      <x:c r="A24" s="13" t="str">
        <x:v>☐</x:v>
      </x:c>
      <x:c r="B24" s="11" t="n">
        <x:v>15</x:v>
      </x:c>
      <x:c r="C24" s="15" t="e">
        <x:f>HYPERLINK("https://pokecottage.com/pokemon-master-sets/beedrill","Beedrill")</x:f>
        <x:v>HYPERLINK is not implemented. linkLocation=https://pokecottage.com/pokemon-master-sets/beedrill, friendlyName=Beedrill</x:v>
      </x:c>
      <x:c r="D24" s="7" t="str">
        <x:v>Gen 1 • Kanto</x:v>
      </x:c>
      <x:c r="E24" s="7"/>
      <x:c r="F24" s="7"/>
    </x:row>
    <x:row r="25" ht="25" customHeight="1">
      <x:c r="A25" s="14" t="str">
        <x:v>☐</x:v>
      </x:c>
      <x:c r="B25" s="12" t="n">
        <x:v>15</x:v>
      </x:c>
      <x:c r="C25" s="16" t="e">
        <x:f>HYPERLINK("https://pokecottage.com/pokemon-master-sets/beedrill","Mega Beedrill")</x:f>
        <x:v>HYPERLINK is not implemented. linkLocation=https://pokecottage.com/pokemon-master-sets/beedrill, friendlyName=Mega Beedrill</x:v>
      </x:c>
      <x:c r="D25" s="8" t="str">
        <x:v>Mega Evolution</x:v>
      </x:c>
      <x:c r="E25" s="8"/>
      <x:c r="F25" s="8"/>
    </x:row>
    <x:row r="26" ht="25" customHeight="1">
      <x:c r="A26" s="13" t="str">
        <x:v>☐</x:v>
      </x:c>
      <x:c r="B26" s="11" t="n">
        <x:v>16</x:v>
      </x:c>
      <x:c r="C26" s="15" t="e">
        <x:f>HYPERLINK("https://pokecottage.com/pokemon-master-sets/pidgey","Pidgey")</x:f>
        <x:v>HYPERLINK is not implemented. linkLocation=https://pokecottage.com/pokemon-master-sets/pidgey, friendlyName=Pidgey</x:v>
      </x:c>
      <x:c r="D26" s="7" t="str">
        <x:v>Gen 1 • Kanto</x:v>
      </x:c>
      <x:c r="E26" s="7"/>
      <x:c r="F26" s="7"/>
    </x:row>
    <x:row r="27" ht="25" customHeight="1">
      <x:c r="A27" s="14" t="str">
        <x:v>☐</x:v>
      </x:c>
      <x:c r="B27" s="12" t="n">
        <x:v>17</x:v>
      </x:c>
      <x:c r="C27" s="16" t="e">
        <x:f>HYPERLINK("https://pokecottage.com/pokemon-master-sets/pidgeotto","Pidgeotto")</x:f>
        <x:v>HYPERLINK is not implemented. linkLocation=https://pokecottage.com/pokemon-master-sets/pidgeotto, friendlyName=Pidgeotto</x:v>
      </x:c>
      <x:c r="D27" s="8" t="str">
        <x:v>Gen 1 • Kanto</x:v>
      </x:c>
      <x:c r="E27" s="8"/>
      <x:c r="F27" s="8"/>
    </x:row>
    <x:row r="28" ht="25" customHeight="1">
      <x:c r="A28" s="13" t="str">
        <x:v>☐</x:v>
      </x:c>
      <x:c r="B28" s="11" t="n">
        <x:v>18</x:v>
      </x:c>
      <x:c r="C28" s="15" t="e">
        <x:f>HYPERLINK("https://pokecottage.com/pokemon-master-sets/pidgeot","Pidgeot")</x:f>
        <x:v>HYPERLINK is not implemented. linkLocation=https://pokecottage.com/pokemon-master-sets/pidgeot, friendlyName=Pidgeot</x:v>
      </x:c>
      <x:c r="D28" s="7" t="str">
        <x:v>Gen 1 • Kanto</x:v>
      </x:c>
      <x:c r="E28" s="7"/>
      <x:c r="F28" s="7"/>
    </x:row>
    <x:row r="29" ht="25" customHeight="1">
      <x:c r="A29" s="14" t="str">
        <x:v>☐</x:v>
      </x:c>
      <x:c r="B29" s="12" t="n">
        <x:v>18</x:v>
      </x:c>
      <x:c r="C29" s="16" t="e">
        <x:f>HYPERLINK("https://pokecottage.com/pokemon-master-sets/pidgeot","Mega Pidgeot")</x:f>
        <x:v>HYPERLINK is not implemented. linkLocation=https://pokecottage.com/pokemon-master-sets/pidgeot, friendlyName=Mega Pidgeot</x:v>
      </x:c>
      <x:c r="D29" s="8" t="str">
        <x:v>Mega Evolution</x:v>
      </x:c>
      <x:c r="E29" s="8"/>
      <x:c r="F29" s="8"/>
    </x:row>
    <x:row r="30" ht="25" customHeight="1">
      <x:c r="A30" s="13" t="str">
        <x:v>☐</x:v>
      </x:c>
      <x:c r="B30" s="11" t="n">
        <x:v>19</x:v>
      </x:c>
      <x:c r="C30" s="15" t="e">
        <x:f>HYPERLINK("https://pokecottage.com/pokemon-master-sets/rattata","Rattata")</x:f>
        <x:v>HYPERLINK is not implemented. linkLocation=https://pokecottage.com/pokemon-master-sets/rattata, friendlyName=Rattata</x:v>
      </x:c>
      <x:c r="D30" s="7" t="str">
        <x:v>Gen 1 • Kanto</x:v>
      </x:c>
      <x:c r="E30" s="7"/>
      <x:c r="F30" s="7"/>
    </x:row>
    <x:row r="31" ht="25" customHeight="1">
      <x:c r="A31" s="14" t="str">
        <x:v>☐</x:v>
      </x:c>
      <x:c r="B31" s="12" t="n">
        <x:v>19</x:v>
      </x:c>
      <x:c r="C31" s="16" t="e">
        <x:f>HYPERLINK("https://pokecottage.com/pokemon-master-sets/rattata","Alolan Rattata")</x:f>
        <x:v>HYPERLINK is not implemented. linkLocation=https://pokecottage.com/pokemon-master-sets/rattata, friendlyName=Alolan Rattata</x:v>
      </x:c>
      <x:c r="D31" s="8" t="str">
        <x:v>Regional</x:v>
      </x:c>
      <x:c r="E31" s="8"/>
      <x:c r="F31" s="8"/>
    </x:row>
    <x:row r="32" ht="25" customHeight="1">
      <x:c r="A32" s="13" t="str">
        <x:v>☐</x:v>
      </x:c>
      <x:c r="B32" s="11" t="n">
        <x:v>20</x:v>
      </x:c>
      <x:c r="C32" s="15" t="e">
        <x:f>HYPERLINK("https://pokecottage.com/pokemon-master-sets/raticate","Raticate")</x:f>
        <x:v>HYPERLINK is not implemented. linkLocation=https://pokecottage.com/pokemon-master-sets/raticate, friendlyName=Raticate</x:v>
      </x:c>
      <x:c r="D32" s="7" t="str">
        <x:v>Gen 1 • Kanto</x:v>
      </x:c>
      <x:c r="E32" s="7"/>
      <x:c r="F32" s="7"/>
    </x:row>
    <x:row r="33" ht="25" customHeight="1">
      <x:c r="A33" s="14" t="str">
        <x:v>☐</x:v>
      </x:c>
      <x:c r="B33" s="12" t="n">
        <x:v>20</x:v>
      </x:c>
      <x:c r="C33" s="16" t="e">
        <x:f>HYPERLINK("https://pokecottage.com/pokemon-master-sets/raticate","Alolan Raticate")</x:f>
        <x:v>HYPERLINK is not implemented. linkLocation=https://pokecottage.com/pokemon-master-sets/raticate, friendlyName=Alolan Raticate</x:v>
      </x:c>
      <x:c r="D33" s="8" t="str">
        <x:v>Regional</x:v>
      </x:c>
      <x:c r="E33" s="8"/>
      <x:c r="F33" s="8"/>
    </x:row>
    <x:row r="34" ht="25" customHeight="1">
      <x:c r="A34" s="13" t="str">
        <x:v>☐</x:v>
      </x:c>
      <x:c r="B34" s="11" t="n">
        <x:v>21</x:v>
      </x:c>
      <x:c r="C34" s="15" t="e">
        <x:f>HYPERLINK("https://pokecottage.com/pokemon-master-sets/spearow","Spearow")</x:f>
        <x:v>HYPERLINK is not implemented. linkLocation=https://pokecottage.com/pokemon-master-sets/spearow, friendlyName=Spearow</x:v>
      </x:c>
      <x:c r="D34" s="7" t="str">
        <x:v>Gen 1 • Kanto</x:v>
      </x:c>
      <x:c r="E34" s="7"/>
      <x:c r="F34" s="7"/>
    </x:row>
    <x:row r="35" ht="25" customHeight="1">
      <x:c r="A35" s="14" t="str">
        <x:v>☐</x:v>
      </x:c>
      <x:c r="B35" s="12" t="n">
        <x:v>22</x:v>
      </x:c>
      <x:c r="C35" s="16" t="e">
        <x:f>HYPERLINK("https://pokecottage.com/pokemon-master-sets/fearow","Fearow")</x:f>
        <x:v>HYPERLINK is not implemented. linkLocation=https://pokecottage.com/pokemon-master-sets/fearow, friendlyName=Fearow</x:v>
      </x:c>
      <x:c r="D35" s="8" t="str">
        <x:v>Gen 1 • Kanto</x:v>
      </x:c>
      <x:c r="E35" s="8"/>
      <x:c r="F35" s="8"/>
    </x:row>
    <x:row r="36" ht="25" customHeight="1">
      <x:c r="A36" s="13" t="str">
        <x:v>☐</x:v>
      </x:c>
      <x:c r="B36" s="11" t="n">
        <x:v>23</x:v>
      </x:c>
      <x:c r="C36" s="15" t="e">
        <x:f>HYPERLINK("https://pokecottage.com/pokemon-master-sets/ekans","Ekans")</x:f>
        <x:v>HYPERLINK is not implemented. linkLocation=https://pokecottage.com/pokemon-master-sets/ekans, friendlyName=Ekans</x:v>
      </x:c>
      <x:c r="D36" s="7" t="str">
        <x:v>Gen 1 • Kanto</x:v>
      </x:c>
      <x:c r="E36" s="7"/>
      <x:c r="F36" s="7"/>
    </x:row>
    <x:row r="37" ht="25" customHeight="1">
      <x:c r="A37" s="14" t="str">
        <x:v>☐</x:v>
      </x:c>
      <x:c r="B37" s="12" t="n">
        <x:v>24</x:v>
      </x:c>
      <x:c r="C37" s="16" t="e">
        <x:f>HYPERLINK("https://pokecottage.com/pokemon-master-sets/arbok","Arbok")</x:f>
        <x:v>HYPERLINK is not implemented. linkLocation=https://pokecottage.com/pokemon-master-sets/arbok, friendlyName=Arbok</x:v>
      </x:c>
      <x:c r="D37" s="8" t="str">
        <x:v>Gen 1 • Kanto</x:v>
      </x:c>
      <x:c r="E37" s="8"/>
      <x:c r="F37" s="8"/>
    </x:row>
    <x:row r="38" ht="25" customHeight="1">
      <x:c r="A38" s="13" t="str">
        <x:v>☐</x:v>
      </x:c>
      <x:c r="B38" s="11" t="n">
        <x:v>25</x:v>
      </x:c>
      <x:c r="C38" s="15" t="e">
        <x:f>HYPERLINK("https://pokecottage.com/pokemon-master-sets/pikachu","Pikachu")</x:f>
        <x:v>HYPERLINK is not implemented. linkLocation=https://pokecottage.com/pokemon-master-sets/pikachu, friendlyName=Pikachu</x:v>
      </x:c>
      <x:c r="D38" s="7" t="str">
        <x:v>Gen 1 • Kanto</x:v>
      </x:c>
      <x:c r="E38" s="7"/>
      <x:c r="F38" s="7"/>
    </x:row>
    <x:row r="39" ht="25" customHeight="1">
      <x:c r="A39" s="14" t="str">
        <x:v>☐</x:v>
      </x:c>
      <x:c r="B39" s="12" t="n">
        <x:v>25</x:v>
      </x:c>
      <x:c r="C39" s="16" t="e">
        <x:f>HYPERLINK("https://pokecottage.com/pokemon-master-sets/pikachu","Gigantamax Pikachu")</x:f>
        <x:v>HYPERLINK is not implemented. linkLocation=https://pokecottage.com/pokemon-master-sets/pikachu, friendlyName=Gigantamax Pikachu</x:v>
      </x:c>
      <x:c r="D39" s="8" t="str">
        <x:v>Gigantamax</x:v>
      </x:c>
      <x:c r="E39" s="8"/>
      <x:c r="F39" s="8"/>
    </x:row>
    <x:row r="40" ht="25" customHeight="1">
      <x:c r="A40" s="13" t="str">
        <x:v>☐</x:v>
      </x:c>
      <x:c r="B40" s="11" t="n">
        <x:v>26</x:v>
      </x:c>
      <x:c r="C40" s="15" t="e">
        <x:f>HYPERLINK("https://pokecottage.com/pokemon-master-sets/raichu","Raichu")</x:f>
        <x:v>HYPERLINK is not implemented. linkLocation=https://pokecottage.com/pokemon-master-sets/raichu, friendlyName=Raichu</x:v>
      </x:c>
      <x:c r="D40" s="7" t="str">
        <x:v>Gen 1 • Kanto</x:v>
      </x:c>
      <x:c r="E40" s="7"/>
      <x:c r="F40" s="7"/>
    </x:row>
    <x:row r="41" ht="25" customHeight="1">
      <x:c r="A41" s="14" t="str">
        <x:v>☐</x:v>
      </x:c>
      <x:c r="B41" s="12" t="n">
        <x:v>26</x:v>
      </x:c>
      <x:c r="C41" s="16" t="e">
        <x:f>HYPERLINK("https://pokecottage.com/pokemon-master-sets/raichu","Alolan Raichu")</x:f>
        <x:v>HYPERLINK is not implemented. linkLocation=https://pokecottage.com/pokemon-master-sets/raichu, friendlyName=Alolan Raichu</x:v>
      </x:c>
      <x:c r="D41" s="8" t="str">
        <x:v>Regional</x:v>
      </x:c>
      <x:c r="E41" s="8"/>
      <x:c r="F41" s="8"/>
    </x:row>
    <x:row r="42" ht="25" customHeight="1">
      <x:c r="A42" s="13" t="str">
        <x:v>☐</x:v>
      </x:c>
      <x:c r="B42" s="11" t="n">
        <x:v>26</x:v>
      </x:c>
      <x:c r="C42" s="15" t="e">
        <x:f>HYPERLINK("https://pokecottage.com/pokemon-master-sets/raichu","Mega Raichu X")</x:f>
        <x:v>HYPERLINK is not implemented. linkLocation=https://pokecottage.com/pokemon-master-sets/raichu, friendlyName=Mega Raichu X</x:v>
      </x:c>
      <x:c r="D42" s="7" t="str">
        <x:v>Mega Evolution</x:v>
      </x:c>
      <x:c r="E42" s="7"/>
      <x:c r="F42" s="7"/>
    </x:row>
    <x:row r="43" ht="25" customHeight="1">
      <x:c r="A43" s="14" t="str">
        <x:v>☐</x:v>
      </x:c>
      <x:c r="B43" s="12" t="n">
        <x:v>26</x:v>
      </x:c>
      <x:c r="C43" s="16" t="e">
        <x:f>HYPERLINK("https://pokecottage.com/pokemon-master-sets/raichu","Mega Raichu Y")</x:f>
        <x:v>HYPERLINK is not implemented. linkLocation=https://pokecottage.com/pokemon-master-sets/raichu, friendlyName=Mega Raichu Y</x:v>
      </x:c>
      <x:c r="D43" s="8" t="str">
        <x:v>Mega Evolution</x:v>
      </x:c>
      <x:c r="E43" s="8"/>
      <x:c r="F43" s="8"/>
    </x:row>
    <x:row r="44" ht="25" customHeight="1">
      <x:c r="A44" s="13" t="str">
        <x:v>☐</x:v>
      </x:c>
      <x:c r="B44" s="11" t="n">
        <x:v>27</x:v>
      </x:c>
      <x:c r="C44" s="15" t="e">
        <x:f>HYPERLINK("https://pokecottage.com/pokemon-master-sets/sandshrew","Sandshrew")</x:f>
        <x:v>HYPERLINK is not implemented. linkLocation=https://pokecottage.com/pokemon-master-sets/sandshrew, friendlyName=Sandshrew</x:v>
      </x:c>
      <x:c r="D44" s="7" t="str">
        <x:v>Gen 1 • Kanto</x:v>
      </x:c>
      <x:c r="E44" s="7"/>
      <x:c r="F44" s="7"/>
    </x:row>
    <x:row r="45" ht="25" customHeight="1">
      <x:c r="A45" s="14" t="str">
        <x:v>☐</x:v>
      </x:c>
      <x:c r="B45" s="12" t="n">
        <x:v>27</x:v>
      </x:c>
      <x:c r="C45" s="16" t="e">
        <x:f>HYPERLINK("https://pokecottage.com/pokemon-master-sets/sandshrew","Alolan Sandshrew")</x:f>
        <x:v>HYPERLINK is not implemented. linkLocation=https://pokecottage.com/pokemon-master-sets/sandshrew, friendlyName=Alolan Sandshrew</x:v>
      </x:c>
      <x:c r="D45" s="8" t="str">
        <x:v>Regional</x:v>
      </x:c>
      <x:c r="E45" s="8"/>
      <x:c r="F45" s="8"/>
    </x:row>
    <x:row r="46" ht="25" customHeight="1">
      <x:c r="A46" s="13" t="str">
        <x:v>☐</x:v>
      </x:c>
      <x:c r="B46" s="11" t="n">
        <x:v>28</x:v>
      </x:c>
      <x:c r="C46" s="15" t="e">
        <x:f>HYPERLINK("https://pokecottage.com/pokemon-master-sets/sandslash","Sandslash")</x:f>
        <x:v>HYPERLINK is not implemented. linkLocation=https://pokecottage.com/pokemon-master-sets/sandslash, friendlyName=Sandslash</x:v>
      </x:c>
      <x:c r="D46" s="7" t="str">
        <x:v>Gen 1 • Kanto</x:v>
      </x:c>
      <x:c r="E46" s="7"/>
      <x:c r="F46" s="7"/>
    </x:row>
    <x:row r="47" ht="25" customHeight="1">
      <x:c r="A47" s="14" t="str">
        <x:v>☐</x:v>
      </x:c>
      <x:c r="B47" s="12" t="n">
        <x:v>28</x:v>
      </x:c>
      <x:c r="C47" s="16" t="e">
        <x:f>HYPERLINK("https://pokecottage.com/pokemon-master-sets/sandslash","Alolan Sandslash")</x:f>
        <x:v>HYPERLINK is not implemented. linkLocation=https://pokecottage.com/pokemon-master-sets/sandslash, friendlyName=Alolan Sandslash</x:v>
      </x:c>
      <x:c r="D47" s="8" t="str">
        <x:v>Regional</x:v>
      </x:c>
      <x:c r="E47" s="8"/>
      <x:c r="F47" s="8"/>
    </x:row>
    <x:row r="48" ht="25" customHeight="1">
      <x:c r="A48" s="13" t="str">
        <x:v>☐</x:v>
      </x:c>
      <x:c r="B48" s="11" t="n">
        <x:v>29</x:v>
      </x:c>
      <x:c r="C48" s="15" t="e">
        <x:f>HYPERLINK("https://pokecottage.com/pokemon-master-sets/nidoran-female","Nidoran♀")</x:f>
        <x:v>HYPERLINK is not implemented. linkLocation=https://pokecottage.com/pokemon-master-sets/nidoran-female, friendlyName=Nidoran♀</x:v>
      </x:c>
      <x:c r="D48" s="7" t="str">
        <x:v>Gen 1 • Kanto</x:v>
      </x:c>
      <x:c r="E48" s="7"/>
      <x:c r="F48" s="7"/>
    </x:row>
    <x:row r="49" ht="25" customHeight="1">
      <x:c r="A49" s="14" t="str">
        <x:v>☐</x:v>
      </x:c>
      <x:c r="B49" s="12" t="n">
        <x:v>30</x:v>
      </x:c>
      <x:c r="C49" s="16" t="e">
        <x:f>HYPERLINK("https://pokecottage.com/pokemon-master-sets/nidorina","Nidorina")</x:f>
        <x:v>HYPERLINK is not implemented. linkLocation=https://pokecottage.com/pokemon-master-sets/nidorina, friendlyName=Nidorina</x:v>
      </x:c>
      <x:c r="D49" s="8" t="str">
        <x:v>Gen 1 • Kanto</x:v>
      </x:c>
      <x:c r="E49" s="8"/>
      <x:c r="F49" s="8"/>
    </x:row>
    <x:row r="50" ht="25" customHeight="1">
      <x:c r="A50" s="13" t="str">
        <x:v>☐</x:v>
      </x:c>
      <x:c r="B50" s="11" t="n">
        <x:v>31</x:v>
      </x:c>
      <x:c r="C50" s="15" t="e">
        <x:f>HYPERLINK("https://pokecottage.com/pokemon-master-sets/nidoqueen","Nidoqueen")</x:f>
        <x:v>HYPERLINK is not implemented. linkLocation=https://pokecottage.com/pokemon-master-sets/nidoqueen, friendlyName=Nidoqueen</x:v>
      </x:c>
      <x:c r="D50" s="7" t="str">
        <x:v>Gen 1 • Kanto</x:v>
      </x:c>
      <x:c r="E50" s="7"/>
      <x:c r="F50" s="7"/>
    </x:row>
    <x:row r="51" ht="25" customHeight="1">
      <x:c r="A51" s="14" t="str">
        <x:v>☐</x:v>
      </x:c>
      <x:c r="B51" s="12" t="n">
        <x:v>32</x:v>
      </x:c>
      <x:c r="C51" s="16" t="e">
        <x:f>HYPERLINK("https://pokecottage.com/pokemon-master-sets/nidoran-male","Nidoran♂")</x:f>
        <x:v>HYPERLINK is not implemented. linkLocation=https://pokecottage.com/pokemon-master-sets/nidoran-male, friendlyName=Nidoran♂</x:v>
      </x:c>
      <x:c r="D51" s="8" t="str">
        <x:v>Gen 1 • Kanto</x:v>
      </x:c>
      <x:c r="E51" s="8"/>
      <x:c r="F51" s="8"/>
    </x:row>
    <x:row r="52" ht="25" customHeight="1">
      <x:c r="A52" s="13" t="str">
        <x:v>☐</x:v>
      </x:c>
      <x:c r="B52" s="11" t="n">
        <x:v>33</x:v>
      </x:c>
      <x:c r="C52" s="15" t="e">
        <x:f>HYPERLINK("https://pokecottage.com/pokemon-master-sets/nidorino","Nidorino")</x:f>
        <x:v>HYPERLINK is not implemented. linkLocation=https://pokecottage.com/pokemon-master-sets/nidorino, friendlyName=Nidorino</x:v>
      </x:c>
      <x:c r="D52" s="7" t="str">
        <x:v>Gen 1 • Kanto</x:v>
      </x:c>
      <x:c r="E52" s="7"/>
      <x:c r="F52" s="7"/>
    </x:row>
    <x:row r="53" ht="25" customHeight="1">
      <x:c r="A53" s="14" t="str">
        <x:v>☐</x:v>
      </x:c>
      <x:c r="B53" s="12" t="n">
        <x:v>34</x:v>
      </x:c>
      <x:c r="C53" s="16" t="e">
        <x:f>HYPERLINK("https://pokecottage.com/pokemon-master-sets/nidoking","Nidoking")</x:f>
        <x:v>HYPERLINK is not implemented. linkLocation=https://pokecottage.com/pokemon-master-sets/nidoking, friendlyName=Nidoking</x:v>
      </x:c>
      <x:c r="D53" s="8" t="str">
        <x:v>Gen 1 • Kanto</x:v>
      </x:c>
      <x:c r="E53" s="8"/>
      <x:c r="F53" s="8"/>
    </x:row>
    <x:row r="54" ht="25" customHeight="1">
      <x:c r="A54" s="13" t="str">
        <x:v>☐</x:v>
      </x:c>
      <x:c r="B54" s="11" t="n">
        <x:v>35</x:v>
      </x:c>
      <x:c r="C54" s="15" t="e">
        <x:f>HYPERLINK("https://pokecottage.com/pokemon-master-sets/clefairy","Clefairy")</x:f>
        <x:v>HYPERLINK is not implemented. linkLocation=https://pokecottage.com/pokemon-master-sets/clefairy, friendlyName=Clefairy</x:v>
      </x:c>
      <x:c r="D54" s="7" t="str">
        <x:v>Gen 1 • Kanto</x:v>
      </x:c>
      <x:c r="E54" s="7"/>
      <x:c r="F54" s="7"/>
    </x:row>
    <x:row r="55" ht="25" customHeight="1">
      <x:c r="A55" s="14" t="str">
        <x:v>☐</x:v>
      </x:c>
      <x:c r="B55" s="12" t="n">
        <x:v>36</x:v>
      </x:c>
      <x:c r="C55" s="16" t="e">
        <x:f>HYPERLINK("https://pokecottage.com/pokemon-master-sets/clefable","Clefable")</x:f>
        <x:v>HYPERLINK is not implemented. linkLocation=https://pokecottage.com/pokemon-master-sets/clefable, friendlyName=Clefable</x:v>
      </x:c>
      <x:c r="D55" s="8" t="str">
        <x:v>Gen 1 • Kanto</x:v>
      </x:c>
      <x:c r="E55" s="8"/>
      <x:c r="F55" s="8"/>
    </x:row>
    <x:row r="56" ht="25" customHeight="1">
      <x:c r="A56" s="13" t="str">
        <x:v>☐</x:v>
      </x:c>
      <x:c r="B56" s="11" t="n">
        <x:v>36</x:v>
      </x:c>
      <x:c r="C56" s="15" t="e">
        <x:f>HYPERLINK("https://pokecottage.com/pokemon-master-sets/clefable","Mega Clefable")</x:f>
        <x:v>HYPERLINK is not implemented. linkLocation=https://pokecottage.com/pokemon-master-sets/clefable, friendlyName=Mega Clefable</x:v>
      </x:c>
      <x:c r="D56" s="7" t="str">
        <x:v>Mega Evolution</x:v>
      </x:c>
      <x:c r="E56" s="7"/>
      <x:c r="F56" s="7"/>
    </x:row>
    <x:row r="57" ht="25" customHeight="1">
      <x:c r="A57" s="14" t="str">
        <x:v>☐</x:v>
      </x:c>
      <x:c r="B57" s="12" t="n">
        <x:v>37</x:v>
      </x:c>
      <x:c r="C57" s="16" t="e">
        <x:f>HYPERLINK("https://pokecottage.com/pokemon-master-sets/vulpix","Vulpix")</x:f>
        <x:v>HYPERLINK is not implemented. linkLocation=https://pokecottage.com/pokemon-master-sets/vulpix, friendlyName=Vulpix</x:v>
      </x:c>
      <x:c r="D57" s="8" t="str">
        <x:v>Gen 1 • Kanto</x:v>
      </x:c>
      <x:c r="E57" s="8"/>
      <x:c r="F57" s="8"/>
    </x:row>
    <x:row r="58" ht="25" customHeight="1">
      <x:c r="A58" s="13" t="str">
        <x:v>☐</x:v>
      </x:c>
      <x:c r="B58" s="11" t="n">
        <x:v>37</x:v>
      </x:c>
      <x:c r="C58" s="15" t="e">
        <x:f>HYPERLINK("https://pokecottage.com/pokemon-master-sets/vulpix","Alolan Vulpix")</x:f>
        <x:v>HYPERLINK is not implemented. linkLocation=https://pokecottage.com/pokemon-master-sets/vulpix, friendlyName=Alolan Vulpix</x:v>
      </x:c>
      <x:c r="D58" s="7" t="str">
        <x:v>Regional</x:v>
      </x:c>
      <x:c r="E58" s="7"/>
      <x:c r="F58" s="7"/>
    </x:row>
    <x:row r="59" ht="25" customHeight="1">
      <x:c r="A59" s="14" t="str">
        <x:v>☐</x:v>
      </x:c>
      <x:c r="B59" s="12" t="n">
        <x:v>38</x:v>
      </x:c>
      <x:c r="C59" s="16" t="e">
        <x:f>HYPERLINK("https://pokecottage.com/pokemon-master-sets/ninetales","Ninetales")</x:f>
        <x:v>HYPERLINK is not implemented. linkLocation=https://pokecottage.com/pokemon-master-sets/ninetales, friendlyName=Ninetales</x:v>
      </x:c>
      <x:c r="D59" s="8" t="str">
        <x:v>Gen 1 • Kanto</x:v>
      </x:c>
      <x:c r="E59" s="8"/>
      <x:c r="F59" s="8"/>
    </x:row>
    <x:row r="60" ht="25" customHeight="1">
      <x:c r="A60" s="13" t="str">
        <x:v>☐</x:v>
      </x:c>
      <x:c r="B60" s="11" t="n">
        <x:v>38</x:v>
      </x:c>
      <x:c r="C60" s="15" t="e">
        <x:f>HYPERLINK("https://pokecottage.com/pokemon-master-sets/ninetales","Alolan Ninetales")</x:f>
        <x:v>HYPERLINK is not implemented. linkLocation=https://pokecottage.com/pokemon-master-sets/ninetales, friendlyName=Alolan Ninetales</x:v>
      </x:c>
      <x:c r="D60" s="7" t="str">
        <x:v>Regional</x:v>
      </x:c>
      <x:c r="E60" s="7"/>
      <x:c r="F60" s="7"/>
    </x:row>
    <x:row r="61" ht="25" customHeight="1">
      <x:c r="A61" s="14" t="str">
        <x:v>☐</x:v>
      </x:c>
      <x:c r="B61" s="12" t="n">
        <x:v>39</x:v>
      </x:c>
      <x:c r="C61" s="16" t="e">
        <x:f>HYPERLINK("https://pokecottage.com/pokemon-master-sets/jigglypuff","Jigglypuff")</x:f>
        <x:v>HYPERLINK is not implemented. linkLocation=https://pokecottage.com/pokemon-master-sets/jigglypuff, friendlyName=Jigglypuff</x:v>
      </x:c>
      <x:c r="D61" s="8" t="str">
        <x:v>Gen 1 • Kanto</x:v>
      </x:c>
      <x:c r="E61" s="8"/>
      <x:c r="F61" s="8"/>
    </x:row>
    <x:row r="62" ht="25" customHeight="1">
      <x:c r="A62" s="13" t="str">
        <x:v>☐</x:v>
      </x:c>
      <x:c r="B62" s="11" t="n">
        <x:v>40</x:v>
      </x:c>
      <x:c r="C62" s="15" t="e">
        <x:f>HYPERLINK("https://pokecottage.com/pokemon-master-sets/wigglytuff","Wigglytuff")</x:f>
        <x:v>HYPERLINK is not implemented. linkLocation=https://pokecottage.com/pokemon-master-sets/wigglytuff, friendlyName=Wigglytuff</x:v>
      </x:c>
      <x:c r="D62" s="7" t="str">
        <x:v>Gen 1 • Kanto</x:v>
      </x:c>
      <x:c r="E62" s="7"/>
      <x:c r="F62" s="7"/>
    </x:row>
    <x:row r="63" ht="25" customHeight="1">
      <x:c r="A63" s="14" t="str">
        <x:v>☐</x:v>
      </x:c>
      <x:c r="B63" s="12" t="n">
        <x:v>41</x:v>
      </x:c>
      <x:c r="C63" s="16" t="e">
        <x:f>HYPERLINK("https://pokecottage.com/pokemon-master-sets/zubat","Zubat")</x:f>
        <x:v>HYPERLINK is not implemented. linkLocation=https://pokecottage.com/pokemon-master-sets/zubat, friendlyName=Zubat</x:v>
      </x:c>
      <x:c r="D63" s="8" t="str">
        <x:v>Gen 1 • Kanto</x:v>
      </x:c>
      <x:c r="E63" s="8"/>
      <x:c r="F63" s="8"/>
    </x:row>
    <x:row r="64" ht="25" customHeight="1">
      <x:c r="A64" s="13" t="str">
        <x:v>☐</x:v>
      </x:c>
      <x:c r="B64" s="11" t="n">
        <x:v>42</x:v>
      </x:c>
      <x:c r="C64" s="15" t="e">
        <x:f>HYPERLINK("https://pokecottage.com/pokemon-master-sets/golbat","Golbat")</x:f>
        <x:v>HYPERLINK is not implemented. linkLocation=https://pokecottage.com/pokemon-master-sets/golbat, friendlyName=Golbat</x:v>
      </x:c>
      <x:c r="D64" s="7" t="str">
        <x:v>Gen 1 • Kanto</x:v>
      </x:c>
      <x:c r="E64" s="7"/>
      <x:c r="F64" s="7"/>
    </x:row>
    <x:row r="65" ht="25" customHeight="1">
      <x:c r="A65" s="14" t="str">
        <x:v>☐</x:v>
      </x:c>
      <x:c r="B65" s="12" t="n">
        <x:v>43</x:v>
      </x:c>
      <x:c r="C65" s="16" t="e">
        <x:f>HYPERLINK("https://pokecottage.com/pokemon-master-sets/oddish","Oddish")</x:f>
        <x:v>HYPERLINK is not implemented. linkLocation=https://pokecottage.com/pokemon-master-sets/oddish, friendlyName=Oddish</x:v>
      </x:c>
      <x:c r="D65" s="8" t="str">
        <x:v>Gen 1 • Kanto</x:v>
      </x:c>
      <x:c r="E65" s="8"/>
      <x:c r="F65" s="8"/>
    </x:row>
    <x:row r="66" ht="25" customHeight="1">
      <x:c r="A66" s="13" t="str">
        <x:v>☐</x:v>
      </x:c>
      <x:c r="B66" s="11" t="n">
        <x:v>44</x:v>
      </x:c>
      <x:c r="C66" s="15" t="e">
        <x:f>HYPERLINK("https://pokecottage.com/pokemon-master-sets/gloom","Gloom")</x:f>
        <x:v>HYPERLINK is not implemented. linkLocation=https://pokecottage.com/pokemon-master-sets/gloom, friendlyName=Gloom</x:v>
      </x:c>
      <x:c r="D66" s="7" t="str">
        <x:v>Gen 1 • Kanto</x:v>
      </x:c>
      <x:c r="E66" s="7"/>
      <x:c r="F66" s="7"/>
    </x:row>
    <x:row r="67" ht="25" customHeight="1">
      <x:c r="A67" s="14" t="str">
        <x:v>☐</x:v>
      </x:c>
      <x:c r="B67" s="12" t="n">
        <x:v>45</x:v>
      </x:c>
      <x:c r="C67" s="16" t="e">
        <x:f>HYPERLINK("https://pokecottage.com/pokemon-master-sets/vileplume","Vileplume")</x:f>
        <x:v>HYPERLINK is not implemented. linkLocation=https://pokecottage.com/pokemon-master-sets/vileplume, friendlyName=Vileplume</x:v>
      </x:c>
      <x:c r="D67" s="8" t="str">
        <x:v>Gen 1 • Kanto</x:v>
      </x:c>
      <x:c r="E67" s="8"/>
      <x:c r="F67" s="8"/>
    </x:row>
    <x:row r="68" ht="25" customHeight="1">
      <x:c r="A68" s="13" t="str">
        <x:v>☐</x:v>
      </x:c>
      <x:c r="B68" s="11" t="n">
        <x:v>46</x:v>
      </x:c>
      <x:c r="C68" s="15" t="e">
        <x:f>HYPERLINK("https://pokecottage.com/pokemon-master-sets/paras","Paras")</x:f>
        <x:v>HYPERLINK is not implemented. linkLocation=https://pokecottage.com/pokemon-master-sets/paras, friendlyName=Paras</x:v>
      </x:c>
      <x:c r="D68" s="7" t="str">
        <x:v>Gen 1 • Kanto</x:v>
      </x:c>
      <x:c r="E68" s="7"/>
      <x:c r="F68" s="7"/>
    </x:row>
    <x:row r="69" ht="25" customHeight="1">
      <x:c r="A69" s="14" t="str">
        <x:v>☐</x:v>
      </x:c>
      <x:c r="B69" s="12" t="n">
        <x:v>47</x:v>
      </x:c>
      <x:c r="C69" s="16" t="e">
        <x:f>HYPERLINK("https://pokecottage.com/pokemon-master-sets/parasect","Parasect")</x:f>
        <x:v>HYPERLINK is not implemented. linkLocation=https://pokecottage.com/pokemon-master-sets/parasect, friendlyName=Parasect</x:v>
      </x:c>
      <x:c r="D69" s="8" t="str">
        <x:v>Gen 1 • Kanto</x:v>
      </x:c>
      <x:c r="E69" s="8"/>
      <x:c r="F69" s="8"/>
    </x:row>
    <x:row r="70" ht="25" customHeight="1">
      <x:c r="A70" s="13" t="str">
        <x:v>☐</x:v>
      </x:c>
      <x:c r="B70" s="11" t="n">
        <x:v>48</x:v>
      </x:c>
      <x:c r="C70" s="15" t="e">
        <x:f>HYPERLINK("https://pokecottage.com/pokemon-master-sets/venonat","Venonat")</x:f>
        <x:v>HYPERLINK is not implemented. linkLocation=https://pokecottage.com/pokemon-master-sets/venonat, friendlyName=Venonat</x:v>
      </x:c>
      <x:c r="D70" s="7" t="str">
        <x:v>Gen 1 • Kanto</x:v>
      </x:c>
      <x:c r="E70" s="7"/>
      <x:c r="F70" s="7"/>
    </x:row>
    <x:row r="71" ht="25" customHeight="1">
      <x:c r="A71" s="14" t="str">
        <x:v>☐</x:v>
      </x:c>
      <x:c r="B71" s="12" t="n">
        <x:v>49</x:v>
      </x:c>
      <x:c r="C71" s="16" t="e">
        <x:f>HYPERLINK("https://pokecottage.com/pokemon-master-sets/venomoth","Venomoth")</x:f>
        <x:v>HYPERLINK is not implemented. linkLocation=https://pokecottage.com/pokemon-master-sets/venomoth, friendlyName=Venomoth</x:v>
      </x:c>
      <x:c r="D71" s="8" t="str">
        <x:v>Gen 1 • Kanto</x:v>
      </x:c>
      <x:c r="E71" s="8"/>
      <x:c r="F71" s="8"/>
    </x:row>
    <x:row r="72" ht="25" customHeight="1">
      <x:c r="A72" s="13" t="str">
        <x:v>☐</x:v>
      </x:c>
      <x:c r="B72" s="11" t="n">
        <x:v>50</x:v>
      </x:c>
      <x:c r="C72" s="15" t="e">
        <x:f>HYPERLINK("https://pokecottage.com/pokemon-master-sets/diglett","Diglett")</x:f>
        <x:v>HYPERLINK is not implemented. linkLocation=https://pokecottage.com/pokemon-master-sets/diglett, friendlyName=Diglett</x:v>
      </x:c>
      <x:c r="D72" s="7" t="str">
        <x:v>Gen 1 • Kanto</x:v>
      </x:c>
      <x:c r="E72" s="7"/>
      <x:c r="F72" s="7"/>
    </x:row>
    <x:row r="73" ht="25" customHeight="1">
      <x:c r="A73" s="14" t="str">
        <x:v>☐</x:v>
      </x:c>
      <x:c r="B73" s="12" t="n">
        <x:v>50</x:v>
      </x:c>
      <x:c r="C73" s="16" t="e">
        <x:f>HYPERLINK("https://pokecottage.com/pokemon-master-sets/diglett","Alolan Diglett")</x:f>
        <x:v>HYPERLINK is not implemented. linkLocation=https://pokecottage.com/pokemon-master-sets/diglett, friendlyName=Alolan Diglett</x:v>
      </x:c>
      <x:c r="D73" s="8" t="str">
        <x:v>Regional</x:v>
      </x:c>
      <x:c r="E73" s="8"/>
      <x:c r="F73" s="8"/>
    </x:row>
    <x:row r="74" ht="25" customHeight="1">
      <x:c r="A74" s="13" t="str">
        <x:v>☐</x:v>
      </x:c>
      <x:c r="B74" s="11" t="n">
        <x:v>51</x:v>
      </x:c>
      <x:c r="C74" s="15" t="e">
        <x:f>HYPERLINK("https://pokecottage.com/pokemon-master-sets/dugtrio","Dugtrio")</x:f>
        <x:v>HYPERLINK is not implemented. linkLocation=https://pokecottage.com/pokemon-master-sets/dugtrio, friendlyName=Dugtrio</x:v>
      </x:c>
      <x:c r="D74" s="7" t="str">
        <x:v>Gen 1 • Kanto</x:v>
      </x:c>
      <x:c r="E74" s="7"/>
      <x:c r="F74" s="7"/>
    </x:row>
    <x:row r="75" ht="25" customHeight="1">
      <x:c r="A75" s="14" t="str">
        <x:v>☐</x:v>
      </x:c>
      <x:c r="B75" s="12" t="n">
        <x:v>51</x:v>
      </x:c>
      <x:c r="C75" s="16" t="e">
        <x:f>HYPERLINK("https://pokecottage.com/pokemon-master-sets/dugtrio","Alolan Dugtrio")</x:f>
        <x:v>HYPERLINK is not implemented. linkLocation=https://pokecottage.com/pokemon-master-sets/dugtrio, friendlyName=Alolan Dugtrio</x:v>
      </x:c>
      <x:c r="D75" s="8" t="str">
        <x:v>Regional</x:v>
      </x:c>
      <x:c r="E75" s="8"/>
      <x:c r="F75" s="8"/>
    </x:row>
    <x:row r="76" ht="25" customHeight="1">
      <x:c r="A76" s="13" t="str">
        <x:v>☐</x:v>
      </x:c>
      <x:c r="B76" s="11" t="n">
        <x:v>52</x:v>
      </x:c>
      <x:c r="C76" s="15" t="e">
        <x:f>HYPERLINK("https://pokecottage.com/pokemon-master-sets/meowth","Meowth")</x:f>
        <x:v>HYPERLINK is not implemented. linkLocation=https://pokecottage.com/pokemon-master-sets/meowth, friendlyName=Meowth</x:v>
      </x:c>
      <x:c r="D76" s="7" t="str">
        <x:v>Gen 1 • Kanto</x:v>
      </x:c>
      <x:c r="E76" s="7"/>
      <x:c r="F76" s="7"/>
    </x:row>
    <x:row r="77" ht="25" customHeight="1">
      <x:c r="A77" s="14" t="str">
        <x:v>☐</x:v>
      </x:c>
      <x:c r="B77" s="12" t="n">
        <x:v>52</x:v>
      </x:c>
      <x:c r="C77" s="16" t="e">
        <x:f>HYPERLINK("https://pokecottage.com/pokemon-master-sets/meowth","Alolan Meowth")</x:f>
        <x:v>HYPERLINK is not implemented. linkLocation=https://pokecottage.com/pokemon-master-sets/meowth, friendlyName=Alolan Meowth</x:v>
      </x:c>
      <x:c r="D77" s="8" t="str">
        <x:v>Regional</x:v>
      </x:c>
      <x:c r="E77" s="8"/>
      <x:c r="F77" s="8"/>
    </x:row>
    <x:row r="78" ht="25" customHeight="1">
      <x:c r="A78" s="13" t="str">
        <x:v>☐</x:v>
      </x:c>
      <x:c r="B78" s="11" t="n">
        <x:v>52</x:v>
      </x:c>
      <x:c r="C78" s="15" t="e">
        <x:f>HYPERLINK("https://pokecottage.com/pokemon-master-sets/meowth","Galarian Meowth")</x:f>
        <x:v>HYPERLINK is not implemented. linkLocation=https://pokecottage.com/pokemon-master-sets/meowth, friendlyName=Galarian Meowth</x:v>
      </x:c>
      <x:c r="D78" s="7" t="str">
        <x:v>Regional</x:v>
      </x:c>
      <x:c r="E78" s="7"/>
      <x:c r="F78" s="7"/>
    </x:row>
    <x:row r="79" ht="25" customHeight="1">
      <x:c r="A79" s="14" t="str">
        <x:v>☐</x:v>
      </x:c>
      <x:c r="B79" s="12" t="n">
        <x:v>52</x:v>
      </x:c>
      <x:c r="C79" s="16" t="e">
        <x:f>HYPERLINK("https://pokecottage.com/pokemon-master-sets/meowth","Gigantamax Meowth")</x:f>
        <x:v>HYPERLINK is not implemented. linkLocation=https://pokecottage.com/pokemon-master-sets/meowth, friendlyName=Gigantamax Meowth</x:v>
      </x:c>
      <x:c r="D79" s="8" t="str">
        <x:v>Gigantamax</x:v>
      </x:c>
      <x:c r="E79" s="8"/>
      <x:c r="F79" s="8"/>
    </x:row>
    <x:row r="80" ht="25" customHeight="1">
      <x:c r="A80" s="13" t="str">
        <x:v>☐</x:v>
      </x:c>
      <x:c r="B80" s="11" t="n">
        <x:v>53</x:v>
      </x:c>
      <x:c r="C80" s="15" t="e">
        <x:f>HYPERLINK("https://pokecottage.com/pokemon-master-sets/persian","Persian")</x:f>
        <x:v>HYPERLINK is not implemented. linkLocation=https://pokecottage.com/pokemon-master-sets/persian, friendlyName=Persian</x:v>
      </x:c>
      <x:c r="D80" s="7" t="str">
        <x:v>Gen 1 • Kanto</x:v>
      </x:c>
      <x:c r="E80" s="7"/>
      <x:c r="F80" s="7"/>
    </x:row>
    <x:row r="81" ht="25" customHeight="1">
      <x:c r="A81" s="14" t="str">
        <x:v>☐</x:v>
      </x:c>
      <x:c r="B81" s="12" t="n">
        <x:v>53</x:v>
      </x:c>
      <x:c r="C81" s="16" t="e">
        <x:f>HYPERLINK("https://pokecottage.com/pokemon-master-sets/persian","Alolan Persian")</x:f>
        <x:v>HYPERLINK is not implemented. linkLocation=https://pokecottage.com/pokemon-master-sets/persian, friendlyName=Alolan Persian</x:v>
      </x:c>
      <x:c r="D81" s="8" t="str">
        <x:v>Regional</x:v>
      </x:c>
      <x:c r="E81" s="8"/>
      <x:c r="F81" s="8"/>
    </x:row>
    <x:row r="82" ht="25" customHeight="1">
      <x:c r="A82" s="13" t="str">
        <x:v>☐</x:v>
      </x:c>
      <x:c r="B82" s="11" t="n">
        <x:v>54</x:v>
      </x:c>
      <x:c r="C82" s="15" t="e">
        <x:f>HYPERLINK("https://pokecottage.com/pokemon-master-sets/psyduck","Psyduck")</x:f>
        <x:v>HYPERLINK is not implemented. linkLocation=https://pokecottage.com/pokemon-master-sets/psyduck, friendlyName=Psyduck</x:v>
      </x:c>
      <x:c r="D82" s="7" t="str">
        <x:v>Gen 1 • Kanto</x:v>
      </x:c>
      <x:c r="E82" s="7"/>
      <x:c r="F82" s="7"/>
    </x:row>
    <x:row r="83" ht="25" customHeight="1">
      <x:c r="A83" s="14" t="str">
        <x:v>☐</x:v>
      </x:c>
      <x:c r="B83" s="12" t="n">
        <x:v>55</x:v>
      </x:c>
      <x:c r="C83" s="16" t="e">
        <x:f>HYPERLINK("https://pokecottage.com/pokemon-master-sets/golduck","Golduck")</x:f>
        <x:v>HYPERLINK is not implemented. linkLocation=https://pokecottage.com/pokemon-master-sets/golduck, friendlyName=Golduck</x:v>
      </x:c>
      <x:c r="D83" s="8" t="str">
        <x:v>Gen 1 • Kanto</x:v>
      </x:c>
      <x:c r="E83" s="8"/>
      <x:c r="F83" s="8"/>
    </x:row>
    <x:row r="84" ht="25" customHeight="1">
      <x:c r="A84" s="13" t="str">
        <x:v>☐</x:v>
      </x:c>
      <x:c r="B84" s="11" t="n">
        <x:v>56</x:v>
      </x:c>
      <x:c r="C84" s="15" t="e">
        <x:f>HYPERLINK("https://pokecottage.com/pokemon-master-sets/mankey","Mankey")</x:f>
        <x:v>HYPERLINK is not implemented. linkLocation=https://pokecottage.com/pokemon-master-sets/mankey, friendlyName=Mankey</x:v>
      </x:c>
      <x:c r="D84" s="7" t="str">
        <x:v>Gen 1 • Kanto</x:v>
      </x:c>
      <x:c r="E84" s="7"/>
      <x:c r="F84" s="7"/>
    </x:row>
    <x:row r="85" ht="25" customHeight="1">
      <x:c r="A85" s="14" t="str">
        <x:v>☐</x:v>
      </x:c>
      <x:c r="B85" s="12" t="n">
        <x:v>57</x:v>
      </x:c>
      <x:c r="C85" s="16" t="e">
        <x:f>HYPERLINK("https://pokecottage.com/pokemon-master-sets/primeape","Primeape")</x:f>
        <x:v>HYPERLINK is not implemented. linkLocation=https://pokecottage.com/pokemon-master-sets/primeape, friendlyName=Primeape</x:v>
      </x:c>
      <x:c r="D85" s="8" t="str">
        <x:v>Gen 1 • Kanto</x:v>
      </x:c>
      <x:c r="E85" s="8"/>
      <x:c r="F85" s="8"/>
    </x:row>
    <x:row r="86" ht="25" customHeight="1">
      <x:c r="A86" s="13" t="str">
        <x:v>☐</x:v>
      </x:c>
      <x:c r="B86" s="11" t="n">
        <x:v>58</x:v>
      </x:c>
      <x:c r="C86" s="15" t="e">
        <x:f>HYPERLINK("https://pokecottage.com/pokemon-master-sets/growlithe","Growlithe")</x:f>
        <x:v>HYPERLINK is not implemented. linkLocation=https://pokecottage.com/pokemon-master-sets/growlithe, friendlyName=Growlithe</x:v>
      </x:c>
      <x:c r="D86" s="7" t="str">
        <x:v>Gen 1 • Kanto</x:v>
      </x:c>
      <x:c r="E86" s="7"/>
      <x:c r="F86" s="7"/>
    </x:row>
    <x:row r="87" ht="25" customHeight="1">
      <x:c r="A87" s="14" t="str">
        <x:v>☐</x:v>
      </x:c>
      <x:c r="B87" s="12" t="n">
        <x:v>58</x:v>
      </x:c>
      <x:c r="C87" s="16" t="e">
        <x:f>HYPERLINK("https://pokecottage.com/pokemon-master-sets/growlithe","Hisuian Growlithe")</x:f>
        <x:v>HYPERLINK is not implemented. linkLocation=https://pokecottage.com/pokemon-master-sets/growlithe, friendlyName=Hisuian Growlithe</x:v>
      </x:c>
      <x:c r="D87" s="8" t="str">
        <x:v>Regional</x:v>
      </x:c>
      <x:c r="E87" s="8"/>
      <x:c r="F87" s="8"/>
    </x:row>
    <x:row r="88" ht="25" customHeight="1">
      <x:c r="A88" s="13" t="str">
        <x:v>☐</x:v>
      </x:c>
      <x:c r="B88" s="11" t="n">
        <x:v>59</x:v>
      </x:c>
      <x:c r="C88" s="15" t="e">
        <x:f>HYPERLINK("https://pokecottage.com/pokemon-master-sets/arcanine","Arcanine")</x:f>
        <x:v>HYPERLINK is not implemented. linkLocation=https://pokecottage.com/pokemon-master-sets/arcanine, friendlyName=Arcanine</x:v>
      </x:c>
      <x:c r="D88" s="7" t="str">
        <x:v>Gen 1 • Kanto</x:v>
      </x:c>
      <x:c r="E88" s="7"/>
      <x:c r="F88" s="7"/>
    </x:row>
    <x:row r="89" ht="25" customHeight="1">
      <x:c r="A89" s="14" t="str">
        <x:v>☐</x:v>
      </x:c>
      <x:c r="B89" s="12" t="n">
        <x:v>59</x:v>
      </x:c>
      <x:c r="C89" s="16" t="e">
        <x:f>HYPERLINK("https://pokecottage.com/pokemon-master-sets/arcanine","Hisuian Arcanine")</x:f>
        <x:v>HYPERLINK is not implemented. linkLocation=https://pokecottage.com/pokemon-master-sets/arcanine, friendlyName=Hisuian Arcanine</x:v>
      </x:c>
      <x:c r="D89" s="8" t="str">
        <x:v>Regional</x:v>
      </x:c>
      <x:c r="E89" s="8"/>
      <x:c r="F89" s="8"/>
    </x:row>
    <x:row r="90" ht="25" customHeight="1">
      <x:c r="A90" s="13" t="str">
        <x:v>☐</x:v>
      </x:c>
      <x:c r="B90" s="11" t="n">
        <x:v>60</x:v>
      </x:c>
      <x:c r="C90" s="15" t="e">
        <x:f>HYPERLINK("https://pokecottage.com/pokemon-master-sets/poliwag","Poliwag")</x:f>
        <x:v>HYPERLINK is not implemented. linkLocation=https://pokecottage.com/pokemon-master-sets/poliwag, friendlyName=Poliwag</x:v>
      </x:c>
      <x:c r="D90" s="7" t="str">
        <x:v>Gen 1 • Kanto</x:v>
      </x:c>
      <x:c r="E90" s="7"/>
      <x:c r="F90" s="7"/>
    </x:row>
    <x:row r="91" ht="25" customHeight="1">
      <x:c r="A91" s="14" t="str">
        <x:v>☐</x:v>
      </x:c>
      <x:c r="B91" s="12" t="n">
        <x:v>61</x:v>
      </x:c>
      <x:c r="C91" s="16" t="e">
        <x:f>HYPERLINK("https://pokecottage.com/pokemon-master-sets/poliwhirl","Poliwhirl")</x:f>
        <x:v>HYPERLINK is not implemented. linkLocation=https://pokecottage.com/pokemon-master-sets/poliwhirl, friendlyName=Poliwhirl</x:v>
      </x:c>
      <x:c r="D91" s="8" t="str">
        <x:v>Gen 1 • Kanto</x:v>
      </x:c>
      <x:c r="E91" s="8"/>
      <x:c r="F91" s="8"/>
    </x:row>
    <x:row r="92" ht="25" customHeight="1">
      <x:c r="A92" s="13" t="str">
        <x:v>☐</x:v>
      </x:c>
      <x:c r="B92" s="11" t="n">
        <x:v>62</x:v>
      </x:c>
      <x:c r="C92" s="15" t="e">
        <x:f>HYPERLINK("https://pokecottage.com/pokemon-master-sets/poliwrath","Poliwrath")</x:f>
        <x:v>HYPERLINK is not implemented. linkLocation=https://pokecottage.com/pokemon-master-sets/poliwrath, friendlyName=Poliwrath</x:v>
      </x:c>
      <x:c r="D92" s="7" t="str">
        <x:v>Gen 1 • Kanto</x:v>
      </x:c>
      <x:c r="E92" s="7"/>
      <x:c r="F92" s="7"/>
    </x:row>
    <x:row r="93" ht="25" customHeight="1">
      <x:c r="A93" s="14" t="str">
        <x:v>☐</x:v>
      </x:c>
      <x:c r="B93" s="12" t="n">
        <x:v>63</x:v>
      </x:c>
      <x:c r="C93" s="16" t="e">
        <x:f>HYPERLINK("https://pokecottage.com/pokemon-master-sets/abra","Abra")</x:f>
        <x:v>HYPERLINK is not implemented. linkLocation=https://pokecottage.com/pokemon-master-sets/abra, friendlyName=Abra</x:v>
      </x:c>
      <x:c r="D93" s="8" t="str">
        <x:v>Gen 1 • Kanto</x:v>
      </x:c>
      <x:c r="E93" s="8"/>
      <x:c r="F93" s="8"/>
    </x:row>
    <x:row r="94" ht="25" customHeight="1">
      <x:c r="A94" s="13" t="str">
        <x:v>☐</x:v>
      </x:c>
      <x:c r="B94" s="11" t="n">
        <x:v>64</x:v>
      </x:c>
      <x:c r="C94" s="15" t="e">
        <x:f>HYPERLINK("https://pokecottage.com/pokemon-master-sets/kadabra","Kadabra")</x:f>
        <x:v>HYPERLINK is not implemented. linkLocation=https://pokecottage.com/pokemon-master-sets/kadabra, friendlyName=Kadabra</x:v>
      </x:c>
      <x:c r="D94" s="7" t="str">
        <x:v>Gen 1 • Kanto</x:v>
      </x:c>
      <x:c r="E94" s="7"/>
      <x:c r="F94" s="7"/>
    </x:row>
    <x:row r="95" ht="25" customHeight="1">
      <x:c r="A95" s="14" t="str">
        <x:v>☐</x:v>
      </x:c>
      <x:c r="B95" s="12" t="n">
        <x:v>65</x:v>
      </x:c>
      <x:c r="C95" s="16" t="e">
        <x:f>HYPERLINK("https://pokecottage.com/pokemon-master-sets/alakazam","Alakazam")</x:f>
        <x:v>HYPERLINK is not implemented. linkLocation=https://pokecottage.com/pokemon-master-sets/alakazam, friendlyName=Alakazam</x:v>
      </x:c>
      <x:c r="D95" s="8" t="str">
        <x:v>Gen 1 • Kanto</x:v>
      </x:c>
      <x:c r="E95" s="8"/>
      <x:c r="F95" s="8"/>
    </x:row>
    <x:row r="96" ht="25" customHeight="1">
      <x:c r="A96" s="13" t="str">
        <x:v>☐</x:v>
      </x:c>
      <x:c r="B96" s="11" t="n">
        <x:v>65</x:v>
      </x:c>
      <x:c r="C96" s="15" t="e">
        <x:f>HYPERLINK("https://pokecottage.com/pokemon-master-sets/alakazam","Mega Alakazam")</x:f>
        <x:v>HYPERLINK is not implemented. linkLocation=https://pokecottage.com/pokemon-master-sets/alakazam, friendlyName=Mega Alakazam</x:v>
      </x:c>
      <x:c r="D96" s="7" t="str">
        <x:v>Mega Evolution</x:v>
      </x:c>
      <x:c r="E96" s="7"/>
      <x:c r="F96" s="7"/>
    </x:row>
    <x:row r="97" ht="25" customHeight="1">
      <x:c r="A97" s="14" t="str">
        <x:v>☐</x:v>
      </x:c>
      <x:c r="B97" s="12" t="n">
        <x:v>66</x:v>
      </x:c>
      <x:c r="C97" s="16" t="e">
        <x:f>HYPERLINK("https://pokecottage.com/pokemon-master-sets/machop","Machop")</x:f>
        <x:v>HYPERLINK is not implemented. linkLocation=https://pokecottage.com/pokemon-master-sets/machop, friendlyName=Machop</x:v>
      </x:c>
      <x:c r="D97" s="8" t="str">
        <x:v>Gen 1 • Kanto</x:v>
      </x:c>
      <x:c r="E97" s="8"/>
      <x:c r="F97" s="8"/>
    </x:row>
    <x:row r="98" ht="25" customHeight="1">
      <x:c r="A98" s="13" t="str">
        <x:v>☐</x:v>
      </x:c>
      <x:c r="B98" s="11" t="n">
        <x:v>67</x:v>
      </x:c>
      <x:c r="C98" s="15" t="e">
        <x:f>HYPERLINK("https://pokecottage.com/pokemon-master-sets/machoke","Machoke")</x:f>
        <x:v>HYPERLINK is not implemented. linkLocation=https://pokecottage.com/pokemon-master-sets/machoke, friendlyName=Machoke</x:v>
      </x:c>
      <x:c r="D98" s="7" t="str">
        <x:v>Gen 1 • Kanto</x:v>
      </x:c>
      <x:c r="E98" s="7"/>
      <x:c r="F98" s="7"/>
    </x:row>
    <x:row r="99" ht="25" customHeight="1">
      <x:c r="A99" s="14" t="str">
        <x:v>☐</x:v>
      </x:c>
      <x:c r="B99" s="12" t="n">
        <x:v>68</x:v>
      </x:c>
      <x:c r="C99" s="16" t="e">
        <x:f>HYPERLINK("https://pokecottage.com/pokemon-master-sets/machamp","Machamp")</x:f>
        <x:v>HYPERLINK is not implemented. linkLocation=https://pokecottage.com/pokemon-master-sets/machamp, friendlyName=Machamp</x:v>
      </x:c>
      <x:c r="D99" s="8" t="str">
        <x:v>Gen 1 • Kanto</x:v>
      </x:c>
      <x:c r="E99" s="8"/>
      <x:c r="F99" s="8"/>
    </x:row>
    <x:row r="100" ht="25" customHeight="1">
      <x:c r="A100" s="13" t="str">
        <x:v>☐</x:v>
      </x:c>
      <x:c r="B100" s="11" t="n">
        <x:v>68</x:v>
      </x:c>
      <x:c r="C100" s="15" t="e">
        <x:f>HYPERLINK("https://pokecottage.com/pokemon-master-sets/machamp","Gigantamax Machamp")</x:f>
        <x:v>HYPERLINK is not implemented. linkLocation=https://pokecottage.com/pokemon-master-sets/machamp, friendlyName=Gigantamax Machamp</x:v>
      </x:c>
      <x:c r="D100" s="7" t="str">
        <x:v>Gigantamax</x:v>
      </x:c>
      <x:c r="E100" s="7"/>
      <x:c r="F100" s="7"/>
    </x:row>
    <x:row r="101" ht="25" customHeight="1">
      <x:c r="A101" s="14" t="str">
        <x:v>☐</x:v>
      </x:c>
      <x:c r="B101" s="12" t="n">
        <x:v>69</x:v>
      </x:c>
      <x:c r="C101" s="16" t="e">
        <x:f>HYPERLINK("https://pokecottage.com/pokemon-master-sets/bellsprout","Bellsprout")</x:f>
        <x:v>HYPERLINK is not implemented. linkLocation=https://pokecottage.com/pokemon-master-sets/bellsprout, friendlyName=Bellsprout</x:v>
      </x:c>
      <x:c r="D101" s="8" t="str">
        <x:v>Gen 1 • Kanto</x:v>
      </x:c>
      <x:c r="E101" s="8"/>
      <x:c r="F101" s="8"/>
    </x:row>
    <x:row r="102" ht="25" customHeight="1">
      <x:c r="A102" s="13" t="str">
        <x:v>☐</x:v>
      </x:c>
      <x:c r="B102" s="11" t="n">
        <x:v>70</x:v>
      </x:c>
      <x:c r="C102" s="15" t="e">
        <x:f>HYPERLINK("https://pokecottage.com/pokemon-master-sets/weepinbell","Weepinbell")</x:f>
        <x:v>HYPERLINK is not implemented. linkLocation=https://pokecottage.com/pokemon-master-sets/weepinbell, friendlyName=Weepinbell</x:v>
      </x:c>
      <x:c r="D102" s="7" t="str">
        <x:v>Gen 1 • Kanto</x:v>
      </x:c>
      <x:c r="E102" s="7"/>
      <x:c r="F102" s="7"/>
    </x:row>
    <x:row r="103" ht="25" customHeight="1">
      <x:c r="A103" s="14" t="str">
        <x:v>☐</x:v>
      </x:c>
      <x:c r="B103" s="12" t="n">
        <x:v>71</x:v>
      </x:c>
      <x:c r="C103" s="16" t="e">
        <x:f>HYPERLINK("https://pokecottage.com/pokemon-master-sets/victreebel","Victreebel")</x:f>
        <x:v>HYPERLINK is not implemented. linkLocation=https://pokecottage.com/pokemon-master-sets/victreebel, friendlyName=Victreebel</x:v>
      </x:c>
      <x:c r="D103" s="8" t="str">
        <x:v>Gen 1 • Kanto</x:v>
      </x:c>
      <x:c r="E103" s="8"/>
      <x:c r="F103" s="8"/>
    </x:row>
    <x:row r="104" ht="25" customHeight="1">
      <x:c r="A104" s="13" t="str">
        <x:v>☐</x:v>
      </x:c>
      <x:c r="B104" s="11" t="n">
        <x:v>71</x:v>
      </x:c>
      <x:c r="C104" s="15" t="e">
        <x:f>HYPERLINK("https://pokecottage.com/pokemon-master-sets/victreebel","Mega Victreebel")</x:f>
        <x:v>HYPERLINK is not implemented. linkLocation=https://pokecottage.com/pokemon-master-sets/victreebel, friendlyName=Mega Victreebel</x:v>
      </x:c>
      <x:c r="D104" s="7" t="str">
        <x:v>Mega Evolution</x:v>
      </x:c>
      <x:c r="E104" s="7"/>
      <x:c r="F104" s="7"/>
    </x:row>
    <x:row r="105" ht="25" customHeight="1">
      <x:c r="A105" s="14" t="str">
        <x:v>☐</x:v>
      </x:c>
      <x:c r="B105" s="12" t="n">
        <x:v>72</x:v>
      </x:c>
      <x:c r="C105" s="16" t="e">
        <x:f>HYPERLINK("https://pokecottage.com/pokemon-master-sets/tentacool","Tentacool")</x:f>
        <x:v>HYPERLINK is not implemented. linkLocation=https://pokecottage.com/pokemon-master-sets/tentacool, friendlyName=Tentacool</x:v>
      </x:c>
      <x:c r="D105" s="8" t="str">
        <x:v>Gen 1 • Kanto</x:v>
      </x:c>
      <x:c r="E105" s="8"/>
      <x:c r="F105" s="8"/>
    </x:row>
    <x:row r="106" ht="25" customHeight="1">
      <x:c r="A106" s="13" t="str">
        <x:v>☐</x:v>
      </x:c>
      <x:c r="B106" s="11" t="n">
        <x:v>73</x:v>
      </x:c>
      <x:c r="C106" s="15" t="e">
        <x:f>HYPERLINK("https://pokecottage.com/pokemon-master-sets/tentacruel","Tentacruel")</x:f>
        <x:v>HYPERLINK is not implemented. linkLocation=https://pokecottage.com/pokemon-master-sets/tentacruel, friendlyName=Tentacruel</x:v>
      </x:c>
      <x:c r="D106" s="7" t="str">
        <x:v>Gen 1 • Kanto</x:v>
      </x:c>
      <x:c r="E106" s="7"/>
      <x:c r="F106" s="7"/>
    </x:row>
    <x:row r="107" ht="25" customHeight="1">
      <x:c r="A107" s="14" t="str">
        <x:v>☐</x:v>
      </x:c>
      <x:c r="B107" s="12" t="n">
        <x:v>74</x:v>
      </x:c>
      <x:c r="C107" s="16" t="e">
        <x:f>HYPERLINK("https://pokecottage.com/pokemon-master-sets/geodude","Geodude")</x:f>
        <x:v>HYPERLINK is not implemented. linkLocation=https://pokecottage.com/pokemon-master-sets/geodude, friendlyName=Geodude</x:v>
      </x:c>
      <x:c r="D107" s="8" t="str">
        <x:v>Gen 1 • Kanto</x:v>
      </x:c>
      <x:c r="E107" s="8"/>
      <x:c r="F107" s="8"/>
    </x:row>
    <x:row r="108" ht="25" customHeight="1">
      <x:c r="A108" s="13" t="str">
        <x:v>☐</x:v>
      </x:c>
      <x:c r="B108" s="11" t="n">
        <x:v>74</x:v>
      </x:c>
      <x:c r="C108" s="15" t="e">
        <x:f>HYPERLINK("https://pokecottage.com/pokemon-master-sets/geodude","Alolan Geodude")</x:f>
        <x:v>HYPERLINK is not implemented. linkLocation=https://pokecottage.com/pokemon-master-sets/geodude, friendlyName=Alolan Geodude</x:v>
      </x:c>
      <x:c r="D108" s="7" t="str">
        <x:v>Regional</x:v>
      </x:c>
      <x:c r="E108" s="7"/>
      <x:c r="F108" s="7"/>
    </x:row>
    <x:row r="109" ht="25" customHeight="1">
      <x:c r="A109" s="14" t="str">
        <x:v>☐</x:v>
      </x:c>
      <x:c r="B109" s="12" t="n">
        <x:v>75</x:v>
      </x:c>
      <x:c r="C109" s="16" t="e">
        <x:f>HYPERLINK("https://pokecottage.com/pokemon-master-sets/graveler","Graveler")</x:f>
        <x:v>HYPERLINK is not implemented. linkLocation=https://pokecottage.com/pokemon-master-sets/graveler, friendlyName=Graveler</x:v>
      </x:c>
      <x:c r="D109" s="8" t="str">
        <x:v>Gen 1 • Kanto</x:v>
      </x:c>
      <x:c r="E109" s="8"/>
      <x:c r="F109" s="8"/>
    </x:row>
    <x:row r="110" ht="25" customHeight="1">
      <x:c r="A110" s="13" t="str">
        <x:v>☐</x:v>
      </x:c>
      <x:c r="B110" s="11" t="n">
        <x:v>75</x:v>
      </x:c>
      <x:c r="C110" s="15" t="e">
        <x:f>HYPERLINK("https://pokecottage.com/pokemon-master-sets/graveler","Alolan Graveler")</x:f>
        <x:v>HYPERLINK is not implemented. linkLocation=https://pokecottage.com/pokemon-master-sets/graveler, friendlyName=Alolan Graveler</x:v>
      </x:c>
      <x:c r="D110" s="7" t="str">
        <x:v>Regional</x:v>
      </x:c>
      <x:c r="E110" s="7"/>
      <x:c r="F110" s="7"/>
    </x:row>
    <x:row r="111" ht="25" customHeight="1">
      <x:c r="A111" s="14" t="str">
        <x:v>☐</x:v>
      </x:c>
      <x:c r="B111" s="12" t="n">
        <x:v>76</x:v>
      </x:c>
      <x:c r="C111" s="16" t="e">
        <x:f>HYPERLINK("https://pokecottage.com/pokemon-master-sets/golem","Golem")</x:f>
        <x:v>HYPERLINK is not implemented. linkLocation=https://pokecottage.com/pokemon-master-sets/golem, friendlyName=Golem</x:v>
      </x:c>
      <x:c r="D111" s="8" t="str">
        <x:v>Gen 1 • Kanto</x:v>
      </x:c>
      <x:c r="E111" s="8"/>
      <x:c r="F111" s="8"/>
    </x:row>
    <x:row r="112" ht="25" customHeight="1">
      <x:c r="A112" s="13" t="str">
        <x:v>☐</x:v>
      </x:c>
      <x:c r="B112" s="11" t="n">
        <x:v>76</x:v>
      </x:c>
      <x:c r="C112" s="15" t="e">
        <x:f>HYPERLINK("https://pokecottage.com/pokemon-master-sets/golem","Alolan Golem")</x:f>
        <x:v>HYPERLINK is not implemented. linkLocation=https://pokecottage.com/pokemon-master-sets/golem, friendlyName=Alolan Golem</x:v>
      </x:c>
      <x:c r="D112" s="7" t="str">
        <x:v>Regional</x:v>
      </x:c>
      <x:c r="E112" s="7"/>
      <x:c r="F112" s="7"/>
    </x:row>
    <x:row r="113" ht="25" customHeight="1">
      <x:c r="A113" s="14" t="str">
        <x:v>☐</x:v>
      </x:c>
      <x:c r="B113" s="12" t="n">
        <x:v>77</x:v>
      </x:c>
      <x:c r="C113" s="16" t="e">
        <x:f>HYPERLINK("https://pokecottage.com/pokemon-master-sets/ponyta","Ponyta")</x:f>
        <x:v>HYPERLINK is not implemented. linkLocation=https://pokecottage.com/pokemon-master-sets/ponyta, friendlyName=Ponyta</x:v>
      </x:c>
      <x:c r="D113" s="8" t="str">
        <x:v>Gen 1 • Kanto</x:v>
      </x:c>
      <x:c r="E113" s="8"/>
      <x:c r="F113" s="8"/>
    </x:row>
    <x:row r="114" ht="25" customHeight="1">
      <x:c r="A114" s="13" t="str">
        <x:v>☐</x:v>
      </x:c>
      <x:c r="B114" s="11" t="n">
        <x:v>77</x:v>
      </x:c>
      <x:c r="C114" s="15" t="e">
        <x:f>HYPERLINK("https://pokecottage.com/pokemon-master-sets/ponyta","Galarian Ponyta")</x:f>
        <x:v>HYPERLINK is not implemented. linkLocation=https://pokecottage.com/pokemon-master-sets/ponyta, friendlyName=Galarian Ponyta</x:v>
      </x:c>
      <x:c r="D114" s="7" t="str">
        <x:v>Regional</x:v>
      </x:c>
      <x:c r="E114" s="7"/>
      <x:c r="F114" s="7"/>
    </x:row>
    <x:row r="115" ht="25" customHeight="1">
      <x:c r="A115" s="14" t="str">
        <x:v>☐</x:v>
      </x:c>
      <x:c r="B115" s="12" t="n">
        <x:v>78</x:v>
      </x:c>
      <x:c r="C115" s="16" t="e">
        <x:f>HYPERLINK("https://pokecottage.com/pokemon-master-sets/rapidash","Rapidash")</x:f>
        <x:v>HYPERLINK is not implemented. linkLocation=https://pokecottage.com/pokemon-master-sets/rapidash, friendlyName=Rapidash</x:v>
      </x:c>
      <x:c r="D115" s="8" t="str">
        <x:v>Gen 1 • Kanto</x:v>
      </x:c>
      <x:c r="E115" s="8"/>
      <x:c r="F115" s="8"/>
    </x:row>
    <x:row r="116" ht="25" customHeight="1">
      <x:c r="A116" s="13" t="str">
        <x:v>☐</x:v>
      </x:c>
      <x:c r="B116" s="11" t="n">
        <x:v>78</x:v>
      </x:c>
      <x:c r="C116" s="15" t="e">
        <x:f>HYPERLINK("https://pokecottage.com/pokemon-master-sets/rapidash","Galarian Rapidash")</x:f>
        <x:v>HYPERLINK is not implemented. linkLocation=https://pokecottage.com/pokemon-master-sets/rapidash, friendlyName=Galarian Rapidash</x:v>
      </x:c>
      <x:c r="D116" s="7" t="str">
        <x:v>Regional</x:v>
      </x:c>
      <x:c r="E116" s="7"/>
      <x:c r="F116" s="7"/>
    </x:row>
    <x:row r="117" ht="25" customHeight="1">
      <x:c r="A117" s="14" t="str">
        <x:v>☐</x:v>
      </x:c>
      <x:c r="B117" s="12" t="n">
        <x:v>79</x:v>
      </x:c>
      <x:c r="C117" s="16" t="e">
        <x:f>HYPERLINK("https://pokecottage.com/pokemon-master-sets/slowpoke","Slowpoke")</x:f>
        <x:v>HYPERLINK is not implemented. linkLocation=https://pokecottage.com/pokemon-master-sets/slowpoke, friendlyName=Slowpoke</x:v>
      </x:c>
      <x:c r="D117" s="8" t="str">
        <x:v>Gen 1 • Kanto</x:v>
      </x:c>
      <x:c r="E117" s="8"/>
      <x:c r="F117" s="8"/>
    </x:row>
    <x:row r="118" ht="25" customHeight="1">
      <x:c r="A118" s="13" t="str">
        <x:v>☐</x:v>
      </x:c>
      <x:c r="B118" s="11" t="n">
        <x:v>79</x:v>
      </x:c>
      <x:c r="C118" s="15" t="e">
        <x:f>HYPERLINK("https://pokecottage.com/pokemon-master-sets/slowpoke","Galarian Slowpoke")</x:f>
        <x:v>HYPERLINK is not implemented. linkLocation=https://pokecottage.com/pokemon-master-sets/slowpoke, friendlyName=Galarian Slowpoke</x:v>
      </x:c>
      <x:c r="D118" s="7" t="str">
        <x:v>Regional</x:v>
      </x:c>
      <x:c r="E118" s="7"/>
      <x:c r="F118" s="7"/>
    </x:row>
    <x:row r="119" ht="25" customHeight="1">
      <x:c r="A119" s="14" t="str">
        <x:v>☐</x:v>
      </x:c>
      <x:c r="B119" s="12" t="n">
        <x:v>80</x:v>
      </x:c>
      <x:c r="C119" s="16" t="e">
        <x:f>HYPERLINK("https://pokecottage.com/pokemon-master-sets/slowbro","Slowbro")</x:f>
        <x:v>HYPERLINK is not implemented. linkLocation=https://pokecottage.com/pokemon-master-sets/slowbro, friendlyName=Slowbro</x:v>
      </x:c>
      <x:c r="D119" s="8" t="str">
        <x:v>Gen 1 • Kanto</x:v>
      </x:c>
      <x:c r="E119" s="8"/>
      <x:c r="F119" s="8"/>
    </x:row>
    <x:row r="120" ht="25" customHeight="1">
      <x:c r="A120" s="13" t="str">
        <x:v>☐</x:v>
      </x:c>
      <x:c r="B120" s="11" t="n">
        <x:v>80</x:v>
      </x:c>
      <x:c r="C120" s="15" t="e">
        <x:f>HYPERLINK("https://pokecottage.com/pokemon-master-sets/slowbro","Galarian Slowbro")</x:f>
        <x:v>HYPERLINK is not implemented. linkLocation=https://pokecottage.com/pokemon-master-sets/slowbro, friendlyName=Galarian Slowbro</x:v>
      </x:c>
      <x:c r="D120" s="7" t="str">
        <x:v>Regional</x:v>
      </x:c>
      <x:c r="E120" s="7"/>
      <x:c r="F120" s="7"/>
    </x:row>
    <x:row r="121" ht="25" customHeight="1">
      <x:c r="A121" s="14" t="str">
        <x:v>☐</x:v>
      </x:c>
      <x:c r="B121" s="12" t="n">
        <x:v>80</x:v>
      </x:c>
      <x:c r="C121" s="16" t="e">
        <x:f>HYPERLINK("https://pokecottage.com/pokemon-master-sets/slowbro","Mega Slowbro")</x:f>
        <x:v>HYPERLINK is not implemented. linkLocation=https://pokecottage.com/pokemon-master-sets/slowbro, friendlyName=Mega Slowbro</x:v>
      </x:c>
      <x:c r="D121" s="8" t="str">
        <x:v>Mega Evolution</x:v>
      </x:c>
      <x:c r="E121" s="8"/>
      <x:c r="F121" s="8"/>
    </x:row>
    <x:row r="122" ht="25" customHeight="1">
      <x:c r="A122" s="13" t="str">
        <x:v>☐</x:v>
      </x:c>
      <x:c r="B122" s="11" t="n">
        <x:v>81</x:v>
      </x:c>
      <x:c r="C122" s="15" t="e">
        <x:f>HYPERLINK("https://pokecottage.com/pokemon-master-sets/magnemite","Magnemite")</x:f>
        <x:v>HYPERLINK is not implemented. linkLocation=https://pokecottage.com/pokemon-master-sets/magnemite, friendlyName=Magnemite</x:v>
      </x:c>
      <x:c r="D122" s="7" t="str">
        <x:v>Gen 1 • Kanto</x:v>
      </x:c>
      <x:c r="E122" s="7"/>
      <x:c r="F122" s="7"/>
    </x:row>
    <x:row r="123" ht="25" customHeight="1">
      <x:c r="A123" s="14" t="str">
        <x:v>☐</x:v>
      </x:c>
      <x:c r="B123" s="12" t="n">
        <x:v>82</x:v>
      </x:c>
      <x:c r="C123" s="16" t="e">
        <x:f>HYPERLINK("https://pokecottage.com/pokemon-master-sets/magneton","Magneton")</x:f>
        <x:v>HYPERLINK is not implemented. linkLocation=https://pokecottage.com/pokemon-master-sets/magneton, friendlyName=Magneton</x:v>
      </x:c>
      <x:c r="D123" s="8" t="str">
        <x:v>Gen 1 • Kanto</x:v>
      </x:c>
      <x:c r="E123" s="8"/>
      <x:c r="F123" s="8"/>
    </x:row>
    <x:row r="124" ht="25" customHeight="1">
      <x:c r="A124" s="13" t="str">
        <x:v>☐</x:v>
      </x:c>
      <x:c r="B124" s="11" t="n">
        <x:v>83</x:v>
      </x:c>
      <x:c r="C124" s="15" t="e">
        <x:f>HYPERLINK("https://pokecottage.com/pokemon-master-sets/farfetchd","Farfetch'd")</x:f>
        <x:v>HYPERLINK is not implemented. linkLocation=https://pokecottage.com/pokemon-master-sets/farfetchd, friendlyName=Farfetch'd</x:v>
      </x:c>
      <x:c r="D124" s="7" t="str">
        <x:v>Gen 1 • Kanto</x:v>
      </x:c>
      <x:c r="E124" s="7"/>
      <x:c r="F124" s="7"/>
    </x:row>
    <x:row r="125" ht="25" customHeight="1">
      <x:c r="A125" s="14" t="str">
        <x:v>☐</x:v>
      </x:c>
      <x:c r="B125" s="12" t="n">
        <x:v>83</x:v>
      </x:c>
      <x:c r="C125" s="16" t="e">
        <x:f>HYPERLINK("https://pokecottage.com/pokemon-master-sets/farfetchd","Galarian Farfetch'd")</x:f>
        <x:v>HYPERLINK is not implemented. linkLocation=https://pokecottage.com/pokemon-master-sets/farfetchd, friendlyName=Galarian Farfetch'd</x:v>
      </x:c>
      <x:c r="D125" s="8" t="str">
        <x:v>Regional</x:v>
      </x:c>
      <x:c r="E125" s="8"/>
      <x:c r="F125" s="8"/>
    </x:row>
    <x:row r="126" ht="25" customHeight="1">
      <x:c r="A126" s="13" t="str">
        <x:v>☐</x:v>
      </x:c>
      <x:c r="B126" s="11" t="n">
        <x:v>84</x:v>
      </x:c>
      <x:c r="C126" s="15" t="e">
        <x:f>HYPERLINK("https://pokecottage.com/pokemon-master-sets/doduo","Doduo")</x:f>
        <x:v>HYPERLINK is not implemented. linkLocation=https://pokecottage.com/pokemon-master-sets/doduo, friendlyName=Doduo</x:v>
      </x:c>
      <x:c r="D126" s="7" t="str">
        <x:v>Gen 1 • Kanto</x:v>
      </x:c>
      <x:c r="E126" s="7"/>
      <x:c r="F126" s="7"/>
    </x:row>
    <x:row r="127" ht="25" customHeight="1">
      <x:c r="A127" s="14" t="str">
        <x:v>☐</x:v>
      </x:c>
      <x:c r="B127" s="12" t="n">
        <x:v>85</x:v>
      </x:c>
      <x:c r="C127" s="16" t="e">
        <x:f>HYPERLINK("https://pokecottage.com/pokemon-master-sets/dodrio","Dodrio")</x:f>
        <x:v>HYPERLINK is not implemented. linkLocation=https://pokecottage.com/pokemon-master-sets/dodrio, friendlyName=Dodrio</x:v>
      </x:c>
      <x:c r="D127" s="8" t="str">
        <x:v>Gen 1 • Kanto</x:v>
      </x:c>
      <x:c r="E127" s="8"/>
      <x:c r="F127" s="8"/>
    </x:row>
    <x:row r="128" ht="25" customHeight="1">
      <x:c r="A128" s="13" t="str">
        <x:v>☐</x:v>
      </x:c>
      <x:c r="B128" s="11" t="n">
        <x:v>86</x:v>
      </x:c>
      <x:c r="C128" s="15" t="e">
        <x:f>HYPERLINK("https://pokecottage.com/pokemon-master-sets/seel","Seel")</x:f>
        <x:v>HYPERLINK is not implemented. linkLocation=https://pokecottage.com/pokemon-master-sets/seel, friendlyName=Seel</x:v>
      </x:c>
      <x:c r="D128" s="7" t="str">
        <x:v>Gen 1 • Kanto</x:v>
      </x:c>
      <x:c r="E128" s="7"/>
      <x:c r="F128" s="7"/>
    </x:row>
    <x:row r="129" ht="25" customHeight="1">
      <x:c r="A129" s="14" t="str">
        <x:v>☐</x:v>
      </x:c>
      <x:c r="B129" s="12" t="n">
        <x:v>87</x:v>
      </x:c>
      <x:c r="C129" s="16" t="e">
        <x:f>HYPERLINK("https://pokecottage.com/pokemon-master-sets/dewgong","Dewgong")</x:f>
        <x:v>HYPERLINK is not implemented. linkLocation=https://pokecottage.com/pokemon-master-sets/dewgong, friendlyName=Dewgong</x:v>
      </x:c>
      <x:c r="D129" s="8" t="str">
        <x:v>Gen 1 • Kanto</x:v>
      </x:c>
      <x:c r="E129" s="8"/>
      <x:c r="F129" s="8"/>
    </x:row>
    <x:row r="130" ht="25" customHeight="1">
      <x:c r="A130" s="13" t="str">
        <x:v>☐</x:v>
      </x:c>
      <x:c r="B130" s="11" t="n">
        <x:v>88</x:v>
      </x:c>
      <x:c r="C130" s="15" t="e">
        <x:f>HYPERLINK("https://pokecottage.com/pokemon-master-sets/grimer","Grimer")</x:f>
        <x:v>HYPERLINK is not implemented. linkLocation=https://pokecottage.com/pokemon-master-sets/grimer, friendlyName=Grimer</x:v>
      </x:c>
      <x:c r="D130" s="7" t="str">
        <x:v>Gen 1 • Kanto</x:v>
      </x:c>
      <x:c r="E130" s="7"/>
      <x:c r="F130" s="7"/>
    </x:row>
    <x:row r="131" ht="25" customHeight="1">
      <x:c r="A131" s="14" t="str">
        <x:v>☐</x:v>
      </x:c>
      <x:c r="B131" s="12" t="n">
        <x:v>88</x:v>
      </x:c>
      <x:c r="C131" s="16" t="e">
        <x:f>HYPERLINK("https://pokecottage.com/pokemon-master-sets/grimer","Alolan Grimer")</x:f>
        <x:v>HYPERLINK is not implemented. linkLocation=https://pokecottage.com/pokemon-master-sets/grimer, friendlyName=Alolan Grimer</x:v>
      </x:c>
      <x:c r="D131" s="8" t="str">
        <x:v>Regional</x:v>
      </x:c>
      <x:c r="E131" s="8"/>
      <x:c r="F131" s="8"/>
    </x:row>
    <x:row r="132" ht="25" customHeight="1">
      <x:c r="A132" s="13" t="str">
        <x:v>☐</x:v>
      </x:c>
      <x:c r="B132" s="11" t="n">
        <x:v>89</x:v>
      </x:c>
      <x:c r="C132" s="15" t="e">
        <x:f>HYPERLINK("https://pokecottage.com/pokemon-master-sets/muk","Muk")</x:f>
        <x:v>HYPERLINK is not implemented. linkLocation=https://pokecottage.com/pokemon-master-sets/muk, friendlyName=Muk</x:v>
      </x:c>
      <x:c r="D132" s="7" t="str">
        <x:v>Gen 1 • Kanto</x:v>
      </x:c>
      <x:c r="E132" s="7"/>
      <x:c r="F132" s="7"/>
    </x:row>
    <x:row r="133" ht="25" customHeight="1">
      <x:c r="A133" s="14" t="str">
        <x:v>☐</x:v>
      </x:c>
      <x:c r="B133" s="12" t="n">
        <x:v>89</x:v>
      </x:c>
      <x:c r="C133" s="16" t="e">
        <x:f>HYPERLINK("https://pokecottage.com/pokemon-master-sets/muk","Alolan Muk")</x:f>
        <x:v>HYPERLINK is not implemented. linkLocation=https://pokecottage.com/pokemon-master-sets/muk, friendlyName=Alolan Muk</x:v>
      </x:c>
      <x:c r="D133" s="8" t="str">
        <x:v>Regional</x:v>
      </x:c>
      <x:c r="E133" s="8"/>
      <x:c r="F133" s="8"/>
    </x:row>
    <x:row r="134" ht="25" customHeight="1">
      <x:c r="A134" s="13" t="str">
        <x:v>☐</x:v>
      </x:c>
      <x:c r="B134" s="11" t="n">
        <x:v>90</x:v>
      </x:c>
      <x:c r="C134" s="15" t="e">
        <x:f>HYPERLINK("https://pokecottage.com/pokemon-master-sets/shellder","Shellder")</x:f>
        <x:v>HYPERLINK is not implemented. linkLocation=https://pokecottage.com/pokemon-master-sets/shellder, friendlyName=Shellder</x:v>
      </x:c>
      <x:c r="D134" s="7" t="str">
        <x:v>Gen 1 • Kanto</x:v>
      </x:c>
      <x:c r="E134" s="7"/>
      <x:c r="F134" s="7"/>
    </x:row>
    <x:row r="135" ht="25" customHeight="1">
      <x:c r="A135" s="14" t="str">
        <x:v>☐</x:v>
      </x:c>
      <x:c r="B135" s="12" t="n">
        <x:v>91</x:v>
      </x:c>
      <x:c r="C135" s="16" t="e">
        <x:f>HYPERLINK("https://pokecottage.com/pokemon-master-sets/cloyster","Cloyster")</x:f>
        <x:v>HYPERLINK is not implemented. linkLocation=https://pokecottage.com/pokemon-master-sets/cloyster, friendlyName=Cloyster</x:v>
      </x:c>
      <x:c r="D135" s="8" t="str">
        <x:v>Gen 1 • Kanto</x:v>
      </x:c>
      <x:c r="E135" s="8"/>
      <x:c r="F135" s="8"/>
    </x:row>
    <x:row r="136" ht="25" customHeight="1">
      <x:c r="A136" s="13" t="str">
        <x:v>☐</x:v>
      </x:c>
      <x:c r="B136" s="11" t="n">
        <x:v>92</x:v>
      </x:c>
      <x:c r="C136" s="15" t="e">
        <x:f>HYPERLINK("https://pokecottage.com/pokemon-master-sets/gastly","Gastly")</x:f>
        <x:v>HYPERLINK is not implemented. linkLocation=https://pokecottage.com/pokemon-master-sets/gastly, friendlyName=Gastly</x:v>
      </x:c>
      <x:c r="D136" s="7" t="str">
        <x:v>Gen 1 • Kanto</x:v>
      </x:c>
      <x:c r="E136" s="7"/>
      <x:c r="F136" s="7"/>
    </x:row>
    <x:row r="137" ht="25" customHeight="1">
      <x:c r="A137" s="14" t="str">
        <x:v>☐</x:v>
      </x:c>
      <x:c r="B137" s="12" t="n">
        <x:v>93</x:v>
      </x:c>
      <x:c r="C137" s="16" t="e">
        <x:f>HYPERLINK("https://pokecottage.com/pokemon-master-sets/haunter","Haunter")</x:f>
        <x:v>HYPERLINK is not implemented. linkLocation=https://pokecottage.com/pokemon-master-sets/haunter, friendlyName=Haunter</x:v>
      </x:c>
      <x:c r="D137" s="8" t="str">
        <x:v>Gen 1 • Kanto</x:v>
      </x:c>
      <x:c r="E137" s="8"/>
      <x:c r="F137" s="8"/>
    </x:row>
    <x:row r="138" ht="25" customHeight="1">
      <x:c r="A138" s="13" t="str">
        <x:v>☐</x:v>
      </x:c>
      <x:c r="B138" s="11" t="n">
        <x:v>94</x:v>
      </x:c>
      <x:c r="C138" s="15" t="e">
        <x:f>HYPERLINK("https://pokecottage.com/pokemon-master-sets/gengar","Gengar")</x:f>
        <x:v>HYPERLINK is not implemented. linkLocation=https://pokecottage.com/pokemon-master-sets/gengar, friendlyName=Gengar</x:v>
      </x:c>
      <x:c r="D138" s="7" t="str">
        <x:v>Gen 1 • Kanto</x:v>
      </x:c>
      <x:c r="E138" s="7"/>
      <x:c r="F138" s="7"/>
    </x:row>
    <x:row r="139" ht="25" customHeight="1">
      <x:c r="A139" s="14" t="str">
        <x:v>☐</x:v>
      </x:c>
      <x:c r="B139" s="12" t="n">
        <x:v>94</x:v>
      </x:c>
      <x:c r="C139" s="16" t="e">
        <x:f>HYPERLINK("https://pokecottage.com/pokemon-master-sets/gengar","Mega Gengar")</x:f>
        <x:v>HYPERLINK is not implemented. linkLocation=https://pokecottage.com/pokemon-master-sets/gengar, friendlyName=Mega Gengar</x:v>
      </x:c>
      <x:c r="D139" s="8" t="str">
        <x:v>Mega Evolution</x:v>
      </x:c>
      <x:c r="E139" s="8"/>
      <x:c r="F139" s="8"/>
    </x:row>
    <x:row r="140" ht="25" customHeight="1">
      <x:c r="A140" s="13" t="str">
        <x:v>☐</x:v>
      </x:c>
      <x:c r="B140" s="11" t="n">
        <x:v>94</x:v>
      </x:c>
      <x:c r="C140" s="15" t="e">
        <x:f>HYPERLINK("https://pokecottage.com/pokemon-master-sets/gengar","Gigantamax Gengar")</x:f>
        <x:v>HYPERLINK is not implemented. linkLocation=https://pokecottage.com/pokemon-master-sets/gengar, friendlyName=Gigantamax Gengar</x:v>
      </x:c>
      <x:c r="D140" s="7" t="str">
        <x:v>Gigantamax</x:v>
      </x:c>
      <x:c r="E140" s="7"/>
      <x:c r="F140" s="7"/>
    </x:row>
    <x:row r="141" ht="25" customHeight="1">
      <x:c r="A141" s="14" t="str">
        <x:v>☐</x:v>
      </x:c>
      <x:c r="B141" s="12" t="n">
        <x:v>95</x:v>
      </x:c>
      <x:c r="C141" s="16" t="e">
        <x:f>HYPERLINK("https://pokecottage.com/pokemon-master-sets/onix","Onix")</x:f>
        <x:v>HYPERLINK is not implemented. linkLocation=https://pokecottage.com/pokemon-master-sets/onix, friendlyName=Onix</x:v>
      </x:c>
      <x:c r="D141" s="8" t="str">
        <x:v>Gen 1 • Kanto</x:v>
      </x:c>
      <x:c r="E141" s="8"/>
      <x:c r="F141" s="8"/>
    </x:row>
    <x:row r="142" ht="25" customHeight="1">
      <x:c r="A142" s="13" t="str">
        <x:v>☐</x:v>
      </x:c>
      <x:c r="B142" s="11" t="n">
        <x:v>96</x:v>
      </x:c>
      <x:c r="C142" s="15" t="e">
        <x:f>HYPERLINK("https://pokecottage.com/pokemon-master-sets/drowzee","Drowzee")</x:f>
        <x:v>HYPERLINK is not implemented. linkLocation=https://pokecottage.com/pokemon-master-sets/drowzee, friendlyName=Drowzee</x:v>
      </x:c>
      <x:c r="D142" s="7" t="str">
        <x:v>Gen 1 • Kanto</x:v>
      </x:c>
      <x:c r="E142" s="7"/>
      <x:c r="F142" s="7"/>
    </x:row>
    <x:row r="143" ht="25" customHeight="1">
      <x:c r="A143" s="14" t="str">
        <x:v>☐</x:v>
      </x:c>
      <x:c r="B143" s="12" t="n">
        <x:v>97</x:v>
      </x:c>
      <x:c r="C143" s="16" t="e">
        <x:f>HYPERLINK("https://pokecottage.com/pokemon-master-sets/hypno","Hypno")</x:f>
        <x:v>HYPERLINK is not implemented. linkLocation=https://pokecottage.com/pokemon-master-sets/hypno, friendlyName=Hypno</x:v>
      </x:c>
      <x:c r="D143" s="8" t="str">
        <x:v>Gen 1 • Kanto</x:v>
      </x:c>
      <x:c r="E143" s="8"/>
      <x:c r="F143" s="8"/>
    </x:row>
    <x:row r="144" ht="25" customHeight="1">
      <x:c r="A144" s="13" t="str">
        <x:v>☐</x:v>
      </x:c>
      <x:c r="B144" s="11" t="n">
        <x:v>98</x:v>
      </x:c>
      <x:c r="C144" s="15" t="e">
        <x:f>HYPERLINK("https://pokecottage.com/pokemon-master-sets/krabby","Krabby")</x:f>
        <x:v>HYPERLINK is not implemented. linkLocation=https://pokecottage.com/pokemon-master-sets/krabby, friendlyName=Krabby</x:v>
      </x:c>
      <x:c r="D144" s="7" t="str">
        <x:v>Gen 1 • Kanto</x:v>
      </x:c>
      <x:c r="E144" s="7"/>
      <x:c r="F144" s="7"/>
    </x:row>
    <x:row r="145" ht="25" customHeight="1">
      <x:c r="A145" s="14" t="str">
        <x:v>☐</x:v>
      </x:c>
      <x:c r="B145" s="12" t="n">
        <x:v>99</x:v>
      </x:c>
      <x:c r="C145" s="16" t="e">
        <x:f>HYPERLINK("https://pokecottage.com/pokemon-master-sets/kingler","Kingler")</x:f>
        <x:v>HYPERLINK is not implemented. linkLocation=https://pokecottage.com/pokemon-master-sets/kingler, friendlyName=Kingler</x:v>
      </x:c>
      <x:c r="D145" s="8" t="str">
        <x:v>Gen 1 • Kanto</x:v>
      </x:c>
      <x:c r="E145" s="8"/>
      <x:c r="F145" s="8"/>
    </x:row>
    <x:row r="146" ht="25" customHeight="1">
      <x:c r="A146" s="13" t="str">
        <x:v>☐</x:v>
      </x:c>
      <x:c r="B146" s="11" t="n">
        <x:v>99</x:v>
      </x:c>
      <x:c r="C146" s="15" t="e">
        <x:f>HYPERLINK("https://pokecottage.com/pokemon-master-sets/kingler","Gigantamax Kingler")</x:f>
        <x:v>HYPERLINK is not implemented. linkLocation=https://pokecottage.com/pokemon-master-sets/kingler, friendlyName=Gigantamax Kingler</x:v>
      </x:c>
      <x:c r="D146" s="7" t="str">
        <x:v>Gigantamax</x:v>
      </x:c>
      <x:c r="E146" s="7"/>
      <x:c r="F146" s="7"/>
    </x:row>
    <x:row r="147" ht="25" customHeight="1">
      <x:c r="A147" s="14" t="str">
        <x:v>☐</x:v>
      </x:c>
      <x:c r="B147" s="12" t="n">
        <x:v>100</x:v>
      </x:c>
      <x:c r="C147" s="16" t="e">
        <x:f>HYPERLINK("https://pokecottage.com/pokemon-master-sets/voltorb","Voltorb")</x:f>
        <x:v>HYPERLINK is not implemented. linkLocation=https://pokecottage.com/pokemon-master-sets/voltorb, friendlyName=Voltorb</x:v>
      </x:c>
      <x:c r="D147" s="8" t="str">
        <x:v>Gen 1 • Kanto</x:v>
      </x:c>
      <x:c r="E147" s="8"/>
      <x:c r="F147" s="8"/>
    </x:row>
    <x:row r="148" ht="25" customHeight="1">
      <x:c r="A148" s="13" t="str">
        <x:v>☐</x:v>
      </x:c>
      <x:c r="B148" s="11" t="n">
        <x:v>100</x:v>
      </x:c>
      <x:c r="C148" s="15" t="e">
        <x:f>HYPERLINK("https://pokecottage.com/pokemon-master-sets/voltorb","Hisuian Voltorb")</x:f>
        <x:v>HYPERLINK is not implemented. linkLocation=https://pokecottage.com/pokemon-master-sets/voltorb, friendlyName=Hisuian Voltorb</x:v>
      </x:c>
      <x:c r="D148" s="7" t="str">
        <x:v>Regional</x:v>
      </x:c>
      <x:c r="E148" s="7"/>
      <x:c r="F148" s="7"/>
    </x:row>
    <x:row r="149" ht="25" customHeight="1">
      <x:c r="A149" s="14" t="str">
        <x:v>☐</x:v>
      </x:c>
      <x:c r="B149" s="12" t="n">
        <x:v>101</x:v>
      </x:c>
      <x:c r="C149" s="16" t="e">
        <x:f>HYPERLINK("https://pokecottage.com/pokemon-master-sets/electrode","Electrode")</x:f>
        <x:v>HYPERLINK is not implemented. linkLocation=https://pokecottage.com/pokemon-master-sets/electrode, friendlyName=Electrode</x:v>
      </x:c>
      <x:c r="D149" s="8" t="str">
        <x:v>Gen 1 • Kanto</x:v>
      </x:c>
      <x:c r="E149" s="8"/>
      <x:c r="F149" s="8"/>
    </x:row>
    <x:row r="150" ht="25" customHeight="1">
      <x:c r="A150" s="13" t="str">
        <x:v>☐</x:v>
      </x:c>
      <x:c r="B150" s="11" t="n">
        <x:v>101</x:v>
      </x:c>
      <x:c r="C150" s="15" t="e">
        <x:f>HYPERLINK("https://pokecottage.com/pokemon-master-sets/electrode","Hisuian Electrode")</x:f>
        <x:v>HYPERLINK is not implemented. linkLocation=https://pokecottage.com/pokemon-master-sets/electrode, friendlyName=Hisuian Electrode</x:v>
      </x:c>
      <x:c r="D150" s="7" t="str">
        <x:v>Regional</x:v>
      </x:c>
      <x:c r="E150" s="7"/>
      <x:c r="F150" s="7"/>
    </x:row>
    <x:row r="151" ht="25" customHeight="1">
      <x:c r="A151" s="14" t="str">
        <x:v>☐</x:v>
      </x:c>
      <x:c r="B151" s="12" t="n">
        <x:v>102</x:v>
      </x:c>
      <x:c r="C151" s="16" t="e">
        <x:f>HYPERLINK("https://pokecottage.com/pokemon-master-sets/exeggcute","Exeggcute")</x:f>
        <x:v>HYPERLINK is not implemented. linkLocation=https://pokecottage.com/pokemon-master-sets/exeggcute, friendlyName=Exeggcute</x:v>
      </x:c>
      <x:c r="D151" s="8" t="str">
        <x:v>Gen 1 • Kanto</x:v>
      </x:c>
      <x:c r="E151" s="8"/>
      <x:c r="F151" s="8"/>
    </x:row>
    <x:row r="152" ht="25" customHeight="1">
      <x:c r="A152" s="13" t="str">
        <x:v>☐</x:v>
      </x:c>
      <x:c r="B152" s="11" t="n">
        <x:v>103</x:v>
      </x:c>
      <x:c r="C152" s="15" t="e">
        <x:f>HYPERLINK("https://pokecottage.com/pokemon-master-sets/exeggutor","Exeggutor")</x:f>
        <x:v>HYPERLINK is not implemented. linkLocation=https://pokecottage.com/pokemon-master-sets/exeggutor, friendlyName=Exeggutor</x:v>
      </x:c>
      <x:c r="D152" s="7" t="str">
        <x:v>Gen 1 • Kanto</x:v>
      </x:c>
      <x:c r="E152" s="7"/>
      <x:c r="F152" s="7"/>
    </x:row>
    <x:row r="153" ht="25" customHeight="1">
      <x:c r="A153" s="14" t="str">
        <x:v>☐</x:v>
      </x:c>
      <x:c r="B153" s="12" t="n">
        <x:v>103</x:v>
      </x:c>
      <x:c r="C153" s="16" t="e">
        <x:f>HYPERLINK("https://pokecottage.com/pokemon-master-sets/exeggutor","Alolan Exeggutor")</x:f>
        <x:v>HYPERLINK is not implemented. linkLocation=https://pokecottage.com/pokemon-master-sets/exeggutor, friendlyName=Alolan Exeggutor</x:v>
      </x:c>
      <x:c r="D153" s="8" t="str">
        <x:v>Regional</x:v>
      </x:c>
      <x:c r="E153" s="8"/>
      <x:c r="F153" s="8"/>
    </x:row>
    <x:row r="154" ht="25" customHeight="1">
      <x:c r="A154" s="13" t="str">
        <x:v>☐</x:v>
      </x:c>
      <x:c r="B154" s="11" t="n">
        <x:v>104</x:v>
      </x:c>
      <x:c r="C154" s="15" t="e">
        <x:f>HYPERLINK("https://pokecottage.com/pokemon-master-sets/cubone","Cubone")</x:f>
        <x:v>HYPERLINK is not implemented. linkLocation=https://pokecottage.com/pokemon-master-sets/cubone, friendlyName=Cubone</x:v>
      </x:c>
      <x:c r="D154" s="7" t="str">
        <x:v>Gen 1 • Kanto</x:v>
      </x:c>
      <x:c r="E154" s="7"/>
      <x:c r="F154" s="7"/>
    </x:row>
    <x:row r="155" ht="25" customHeight="1">
      <x:c r="A155" s="14" t="str">
        <x:v>☐</x:v>
      </x:c>
      <x:c r="B155" s="12" t="n">
        <x:v>105</x:v>
      </x:c>
      <x:c r="C155" s="16" t="e">
        <x:f>HYPERLINK("https://pokecottage.com/pokemon-master-sets/marowak","Marowak")</x:f>
        <x:v>HYPERLINK is not implemented. linkLocation=https://pokecottage.com/pokemon-master-sets/marowak, friendlyName=Marowak</x:v>
      </x:c>
      <x:c r="D155" s="8" t="str">
        <x:v>Gen 1 • Kanto</x:v>
      </x:c>
      <x:c r="E155" s="8"/>
      <x:c r="F155" s="8"/>
    </x:row>
    <x:row r="156" ht="25" customHeight="1">
      <x:c r="A156" s="13" t="str">
        <x:v>☐</x:v>
      </x:c>
      <x:c r="B156" s="11" t="n">
        <x:v>105</x:v>
      </x:c>
      <x:c r="C156" s="15" t="e">
        <x:f>HYPERLINK("https://pokecottage.com/pokemon-master-sets/marowak","Alolan Marowak")</x:f>
        <x:v>HYPERLINK is not implemented. linkLocation=https://pokecottage.com/pokemon-master-sets/marowak, friendlyName=Alolan Marowak</x:v>
      </x:c>
      <x:c r="D156" s="7" t="str">
        <x:v>Regional</x:v>
      </x:c>
      <x:c r="E156" s="7"/>
      <x:c r="F156" s="7"/>
    </x:row>
    <x:row r="157" ht="25" customHeight="1">
      <x:c r="A157" s="14" t="str">
        <x:v>☐</x:v>
      </x:c>
      <x:c r="B157" s="12" t="n">
        <x:v>106</x:v>
      </x:c>
      <x:c r="C157" s="16" t="e">
        <x:f>HYPERLINK("https://pokecottage.com/pokemon-master-sets/hitmonlee","Hitmonlee")</x:f>
        <x:v>HYPERLINK is not implemented. linkLocation=https://pokecottage.com/pokemon-master-sets/hitmonlee, friendlyName=Hitmonlee</x:v>
      </x:c>
      <x:c r="D157" s="8" t="str">
        <x:v>Gen 1 • Kanto</x:v>
      </x:c>
      <x:c r="E157" s="8"/>
      <x:c r="F157" s="8"/>
    </x:row>
    <x:row r="158" ht="25" customHeight="1">
      <x:c r="A158" s="13" t="str">
        <x:v>☐</x:v>
      </x:c>
      <x:c r="B158" s="11" t="n">
        <x:v>107</x:v>
      </x:c>
      <x:c r="C158" s="15" t="e">
        <x:f>HYPERLINK("https://pokecottage.com/pokemon-master-sets/hitmonchan","Hitmonchan")</x:f>
        <x:v>HYPERLINK is not implemented. linkLocation=https://pokecottage.com/pokemon-master-sets/hitmonchan, friendlyName=Hitmonchan</x:v>
      </x:c>
      <x:c r="D158" s="7" t="str">
        <x:v>Gen 1 • Kanto</x:v>
      </x:c>
      <x:c r="E158" s="7"/>
      <x:c r="F158" s="7"/>
    </x:row>
    <x:row r="159" ht="25" customHeight="1">
      <x:c r="A159" s="14" t="str">
        <x:v>☐</x:v>
      </x:c>
      <x:c r="B159" s="12" t="n">
        <x:v>108</x:v>
      </x:c>
      <x:c r="C159" s="16" t="e">
        <x:f>HYPERLINK("https://pokecottage.com/pokemon-master-sets/lickitung","Lickitung")</x:f>
        <x:v>HYPERLINK is not implemented. linkLocation=https://pokecottage.com/pokemon-master-sets/lickitung, friendlyName=Lickitung</x:v>
      </x:c>
      <x:c r="D159" s="8" t="str">
        <x:v>Gen 1 • Kanto</x:v>
      </x:c>
      <x:c r="E159" s="8"/>
      <x:c r="F159" s="8"/>
    </x:row>
    <x:row r="160" ht="25" customHeight="1">
      <x:c r="A160" s="13" t="str">
        <x:v>☐</x:v>
      </x:c>
      <x:c r="B160" s="11" t="n">
        <x:v>109</x:v>
      </x:c>
      <x:c r="C160" s="15" t="e">
        <x:f>HYPERLINK("https://pokecottage.com/pokemon-master-sets/koffing","Koffing")</x:f>
        <x:v>HYPERLINK is not implemented. linkLocation=https://pokecottage.com/pokemon-master-sets/koffing, friendlyName=Koffing</x:v>
      </x:c>
      <x:c r="D160" s="7" t="str">
        <x:v>Gen 1 • Kanto</x:v>
      </x:c>
      <x:c r="E160" s="7"/>
      <x:c r="F160" s="7"/>
    </x:row>
    <x:row r="161" ht="25" customHeight="1">
      <x:c r="A161" s="14" t="str">
        <x:v>☐</x:v>
      </x:c>
      <x:c r="B161" s="12" t="n">
        <x:v>110</x:v>
      </x:c>
      <x:c r="C161" s="16" t="e">
        <x:f>HYPERLINK("https://pokecottage.com/pokemon-master-sets/weezing","Weezing")</x:f>
        <x:v>HYPERLINK is not implemented. linkLocation=https://pokecottage.com/pokemon-master-sets/weezing, friendlyName=Weezing</x:v>
      </x:c>
      <x:c r="D161" s="8" t="str">
        <x:v>Gen 1 • Kanto</x:v>
      </x:c>
      <x:c r="E161" s="8"/>
      <x:c r="F161" s="8"/>
    </x:row>
    <x:row r="162" ht="25" customHeight="1">
      <x:c r="A162" s="13" t="str">
        <x:v>☐</x:v>
      </x:c>
      <x:c r="B162" s="11" t="n">
        <x:v>110</x:v>
      </x:c>
      <x:c r="C162" s="15" t="e">
        <x:f>HYPERLINK("https://pokecottage.com/pokemon-master-sets/weezing","Galarian Weezing")</x:f>
        <x:v>HYPERLINK is not implemented. linkLocation=https://pokecottage.com/pokemon-master-sets/weezing, friendlyName=Galarian Weezing</x:v>
      </x:c>
      <x:c r="D162" s="7" t="str">
        <x:v>Regional</x:v>
      </x:c>
      <x:c r="E162" s="7"/>
      <x:c r="F162" s="7"/>
    </x:row>
    <x:row r="163" ht="25" customHeight="1">
      <x:c r="A163" s="14" t="str">
        <x:v>☐</x:v>
      </x:c>
      <x:c r="B163" s="12" t="n">
        <x:v>111</x:v>
      </x:c>
      <x:c r="C163" s="16" t="e">
        <x:f>HYPERLINK("https://pokecottage.com/pokemon-master-sets/rhyhorn","Rhyhorn")</x:f>
        <x:v>HYPERLINK is not implemented. linkLocation=https://pokecottage.com/pokemon-master-sets/rhyhorn, friendlyName=Rhyhorn</x:v>
      </x:c>
      <x:c r="D163" s="8" t="str">
        <x:v>Gen 1 • Kanto</x:v>
      </x:c>
      <x:c r="E163" s="8"/>
      <x:c r="F163" s="8"/>
    </x:row>
    <x:row r="164" ht="25" customHeight="1">
      <x:c r="A164" s="13" t="str">
        <x:v>☐</x:v>
      </x:c>
      <x:c r="B164" s="11" t="n">
        <x:v>112</x:v>
      </x:c>
      <x:c r="C164" s="15" t="e">
        <x:f>HYPERLINK("https://pokecottage.com/pokemon-master-sets/rhydon","Rhydon")</x:f>
        <x:v>HYPERLINK is not implemented. linkLocation=https://pokecottage.com/pokemon-master-sets/rhydon, friendlyName=Rhydon</x:v>
      </x:c>
      <x:c r="D164" s="7" t="str">
        <x:v>Gen 1 • Kanto</x:v>
      </x:c>
      <x:c r="E164" s="7"/>
      <x:c r="F164" s="7"/>
    </x:row>
    <x:row r="165" ht="25" customHeight="1">
      <x:c r="A165" s="14" t="str">
        <x:v>☐</x:v>
      </x:c>
      <x:c r="B165" s="12" t="n">
        <x:v>113</x:v>
      </x:c>
      <x:c r="C165" s="16" t="e">
        <x:f>HYPERLINK("https://pokecottage.com/pokemon-master-sets/chansey","Chansey")</x:f>
        <x:v>HYPERLINK is not implemented. linkLocation=https://pokecottage.com/pokemon-master-sets/chansey, friendlyName=Chansey</x:v>
      </x:c>
      <x:c r="D165" s="8" t="str">
        <x:v>Gen 1 • Kanto</x:v>
      </x:c>
      <x:c r="E165" s="8"/>
      <x:c r="F165" s="8"/>
    </x:row>
    <x:row r="166" ht="25" customHeight="1">
      <x:c r="A166" s="13" t="str">
        <x:v>☐</x:v>
      </x:c>
      <x:c r="B166" s="11" t="n">
        <x:v>114</x:v>
      </x:c>
      <x:c r="C166" s="15" t="e">
        <x:f>HYPERLINK("https://pokecottage.com/pokemon-master-sets/tangela","Tangela")</x:f>
        <x:v>HYPERLINK is not implemented. linkLocation=https://pokecottage.com/pokemon-master-sets/tangela, friendlyName=Tangela</x:v>
      </x:c>
      <x:c r="D166" s="7" t="str">
        <x:v>Gen 1 • Kanto</x:v>
      </x:c>
      <x:c r="E166" s="7"/>
      <x:c r="F166" s="7"/>
    </x:row>
    <x:row r="167" ht="25" customHeight="1">
      <x:c r="A167" s="14" t="str">
        <x:v>☐</x:v>
      </x:c>
      <x:c r="B167" s="12" t="n">
        <x:v>115</x:v>
      </x:c>
      <x:c r="C167" s="16" t="e">
        <x:f>HYPERLINK("https://pokecottage.com/pokemon-master-sets/kangaskhan","Kangaskhan")</x:f>
        <x:v>HYPERLINK is not implemented. linkLocation=https://pokecottage.com/pokemon-master-sets/kangaskhan, friendlyName=Kangaskhan</x:v>
      </x:c>
      <x:c r="D167" s="8" t="str">
        <x:v>Gen 1 • Kanto</x:v>
      </x:c>
      <x:c r="E167" s="8"/>
      <x:c r="F167" s="8"/>
    </x:row>
    <x:row r="168" ht="25" customHeight="1">
      <x:c r="A168" s="13" t="str">
        <x:v>☐</x:v>
      </x:c>
      <x:c r="B168" s="11" t="n">
        <x:v>115</x:v>
      </x:c>
      <x:c r="C168" s="15" t="e">
        <x:f>HYPERLINK("https://pokecottage.com/pokemon-master-sets/kangaskhan","Mega Kangaskhan")</x:f>
        <x:v>HYPERLINK is not implemented. linkLocation=https://pokecottage.com/pokemon-master-sets/kangaskhan, friendlyName=Mega Kangaskhan</x:v>
      </x:c>
      <x:c r="D168" s="7" t="str">
        <x:v>Mega Evolution</x:v>
      </x:c>
      <x:c r="E168" s="7"/>
      <x:c r="F168" s="7"/>
    </x:row>
    <x:row r="169" ht="25" customHeight="1">
      <x:c r="A169" s="14" t="str">
        <x:v>☐</x:v>
      </x:c>
      <x:c r="B169" s="12" t="n">
        <x:v>116</x:v>
      </x:c>
      <x:c r="C169" s="16" t="e">
        <x:f>HYPERLINK("https://pokecottage.com/pokemon-master-sets/horsea","Horsea")</x:f>
        <x:v>HYPERLINK is not implemented. linkLocation=https://pokecottage.com/pokemon-master-sets/horsea, friendlyName=Horsea</x:v>
      </x:c>
      <x:c r="D169" s="8" t="str">
        <x:v>Gen 1 • Kanto</x:v>
      </x:c>
      <x:c r="E169" s="8"/>
      <x:c r="F169" s="8"/>
    </x:row>
    <x:row r="170" ht="25" customHeight="1">
      <x:c r="A170" s="13" t="str">
        <x:v>☐</x:v>
      </x:c>
      <x:c r="B170" s="11" t="n">
        <x:v>117</x:v>
      </x:c>
      <x:c r="C170" s="15" t="e">
        <x:f>HYPERLINK("https://pokecottage.com/pokemon-master-sets/seadra","Seadra")</x:f>
        <x:v>HYPERLINK is not implemented. linkLocation=https://pokecottage.com/pokemon-master-sets/seadra, friendlyName=Seadra</x:v>
      </x:c>
      <x:c r="D170" s="7" t="str">
        <x:v>Gen 1 • Kanto</x:v>
      </x:c>
      <x:c r="E170" s="7"/>
      <x:c r="F170" s="7"/>
    </x:row>
    <x:row r="171" ht="25" customHeight="1">
      <x:c r="A171" s="14" t="str">
        <x:v>☐</x:v>
      </x:c>
      <x:c r="B171" s="12" t="n">
        <x:v>118</x:v>
      </x:c>
      <x:c r="C171" s="16" t="e">
        <x:f>HYPERLINK("https://pokecottage.com/pokemon-master-sets/goldeen","Goldeen")</x:f>
        <x:v>HYPERLINK is not implemented. linkLocation=https://pokecottage.com/pokemon-master-sets/goldeen, friendlyName=Goldeen</x:v>
      </x:c>
      <x:c r="D171" s="8" t="str">
        <x:v>Gen 1 • Kanto</x:v>
      </x:c>
      <x:c r="E171" s="8"/>
      <x:c r="F171" s="8"/>
    </x:row>
    <x:row r="172" ht="25" customHeight="1">
      <x:c r="A172" s="13" t="str">
        <x:v>☐</x:v>
      </x:c>
      <x:c r="B172" s="11" t="n">
        <x:v>119</x:v>
      </x:c>
      <x:c r="C172" s="15" t="e">
        <x:f>HYPERLINK("https://pokecottage.com/pokemon-master-sets/seaking","Seaking")</x:f>
        <x:v>HYPERLINK is not implemented. linkLocation=https://pokecottage.com/pokemon-master-sets/seaking, friendlyName=Seaking</x:v>
      </x:c>
      <x:c r="D172" s="7" t="str">
        <x:v>Gen 1 • Kanto</x:v>
      </x:c>
      <x:c r="E172" s="7"/>
      <x:c r="F172" s="7"/>
    </x:row>
    <x:row r="173" ht="25" customHeight="1">
      <x:c r="A173" s="14" t="str">
        <x:v>☐</x:v>
      </x:c>
      <x:c r="B173" s="12" t="n">
        <x:v>120</x:v>
      </x:c>
      <x:c r="C173" s="16" t="e">
        <x:f>HYPERLINK("https://pokecottage.com/pokemon-master-sets/staryu","Staryu")</x:f>
        <x:v>HYPERLINK is not implemented. linkLocation=https://pokecottage.com/pokemon-master-sets/staryu, friendlyName=Staryu</x:v>
      </x:c>
      <x:c r="D173" s="8" t="str">
        <x:v>Gen 1 • Kanto</x:v>
      </x:c>
      <x:c r="E173" s="8"/>
      <x:c r="F173" s="8"/>
    </x:row>
    <x:row r="174" ht="25" customHeight="1">
      <x:c r="A174" s="13" t="str">
        <x:v>☐</x:v>
      </x:c>
      <x:c r="B174" s="11" t="n">
        <x:v>121</x:v>
      </x:c>
      <x:c r="C174" s="15" t="e">
        <x:f>HYPERLINK("https://pokecottage.com/pokemon-master-sets/starmie","Starmie")</x:f>
        <x:v>HYPERLINK is not implemented. linkLocation=https://pokecottage.com/pokemon-master-sets/starmie, friendlyName=Starmie</x:v>
      </x:c>
      <x:c r="D174" s="7" t="str">
        <x:v>Gen 1 • Kanto</x:v>
      </x:c>
      <x:c r="E174" s="7"/>
      <x:c r="F174" s="7"/>
    </x:row>
    <x:row r="175" ht="25" customHeight="1">
      <x:c r="A175" s="14" t="str">
        <x:v>☐</x:v>
      </x:c>
      <x:c r="B175" s="12" t="n">
        <x:v>121</x:v>
      </x:c>
      <x:c r="C175" s="16" t="e">
        <x:f>HYPERLINK("https://pokecottage.com/pokemon-master-sets/starmie","Mega Starmie")</x:f>
        <x:v>HYPERLINK is not implemented. linkLocation=https://pokecottage.com/pokemon-master-sets/starmie, friendlyName=Mega Starmie</x:v>
      </x:c>
      <x:c r="D175" s="8" t="str">
        <x:v>Mega Evolution</x:v>
      </x:c>
      <x:c r="E175" s="8"/>
      <x:c r="F175" s="8"/>
    </x:row>
    <x:row r="176" ht="25" customHeight="1">
      <x:c r="A176" s="13" t="str">
        <x:v>☐</x:v>
      </x:c>
      <x:c r="B176" s="11" t="n">
        <x:v>122</x:v>
      </x:c>
      <x:c r="C176" s="15" t="e">
        <x:f>HYPERLINK("https://pokecottage.com/pokemon-master-sets/mr-mime","Mr. Mime")</x:f>
        <x:v>HYPERLINK is not implemented. linkLocation=https://pokecottage.com/pokemon-master-sets/mr-mime, friendlyName=Mr. Mime</x:v>
      </x:c>
      <x:c r="D176" s="7" t="str">
        <x:v>Gen 1 • Kanto</x:v>
      </x:c>
      <x:c r="E176" s="7"/>
      <x:c r="F176" s="7"/>
    </x:row>
    <x:row r="177" ht="25" customHeight="1">
      <x:c r="A177" s="14" t="str">
        <x:v>☐</x:v>
      </x:c>
      <x:c r="B177" s="12" t="n">
        <x:v>122</x:v>
      </x:c>
      <x:c r="C177" s="16" t="e">
        <x:f>HYPERLINK("https://pokecottage.com/pokemon-master-sets/mr-mime","Galarian Mr. Mime")</x:f>
        <x:v>HYPERLINK is not implemented. linkLocation=https://pokecottage.com/pokemon-master-sets/mr-mime, friendlyName=Galarian Mr. Mime</x:v>
      </x:c>
      <x:c r="D177" s="8" t="str">
        <x:v>Regional</x:v>
      </x:c>
      <x:c r="E177" s="8"/>
      <x:c r="F177" s="8"/>
    </x:row>
    <x:row r="178" ht="25" customHeight="1">
      <x:c r="A178" s="13" t="str">
        <x:v>☐</x:v>
      </x:c>
      <x:c r="B178" s="11" t="n">
        <x:v>123</x:v>
      </x:c>
      <x:c r="C178" s="15" t="e">
        <x:f>HYPERLINK("https://pokecottage.com/pokemon-master-sets/scyther","Scyther")</x:f>
        <x:v>HYPERLINK is not implemented. linkLocation=https://pokecottage.com/pokemon-master-sets/scyther, friendlyName=Scyther</x:v>
      </x:c>
      <x:c r="D178" s="7" t="str">
        <x:v>Gen 1 • Kanto</x:v>
      </x:c>
      <x:c r="E178" s="7"/>
      <x:c r="F178" s="7"/>
    </x:row>
    <x:row r="179" ht="25" customHeight="1">
      <x:c r="A179" s="14" t="str">
        <x:v>☐</x:v>
      </x:c>
      <x:c r="B179" s="12" t="n">
        <x:v>124</x:v>
      </x:c>
      <x:c r="C179" s="16" t="e">
        <x:f>HYPERLINK("https://pokecottage.com/pokemon-master-sets/jynx","Jynx")</x:f>
        <x:v>HYPERLINK is not implemented. linkLocation=https://pokecottage.com/pokemon-master-sets/jynx, friendlyName=Jynx</x:v>
      </x:c>
      <x:c r="D179" s="8" t="str">
        <x:v>Gen 1 • Kanto</x:v>
      </x:c>
      <x:c r="E179" s="8"/>
      <x:c r="F179" s="8"/>
    </x:row>
    <x:row r="180" ht="25" customHeight="1">
      <x:c r="A180" s="13" t="str">
        <x:v>☐</x:v>
      </x:c>
      <x:c r="B180" s="11" t="n">
        <x:v>125</x:v>
      </x:c>
      <x:c r="C180" s="15" t="e">
        <x:f>HYPERLINK("https://pokecottage.com/pokemon-master-sets/electabuzz","Electabuzz")</x:f>
        <x:v>HYPERLINK is not implemented. linkLocation=https://pokecottage.com/pokemon-master-sets/electabuzz, friendlyName=Electabuzz</x:v>
      </x:c>
      <x:c r="D180" s="7" t="str">
        <x:v>Gen 1 • Kanto</x:v>
      </x:c>
      <x:c r="E180" s="7"/>
      <x:c r="F180" s="7"/>
    </x:row>
    <x:row r="181" ht="25" customHeight="1">
      <x:c r="A181" s="14" t="str">
        <x:v>☐</x:v>
      </x:c>
      <x:c r="B181" s="12" t="n">
        <x:v>126</x:v>
      </x:c>
      <x:c r="C181" s="16" t="e">
        <x:f>HYPERLINK("https://pokecottage.com/pokemon-master-sets/magmar","Magmar")</x:f>
        <x:v>HYPERLINK is not implemented. linkLocation=https://pokecottage.com/pokemon-master-sets/magmar, friendlyName=Magmar</x:v>
      </x:c>
      <x:c r="D181" s="8" t="str">
        <x:v>Gen 1 • Kanto</x:v>
      </x:c>
      <x:c r="E181" s="8"/>
      <x:c r="F181" s="8"/>
    </x:row>
    <x:row r="182" ht="25" customHeight="1">
      <x:c r="A182" s="13" t="str">
        <x:v>☐</x:v>
      </x:c>
      <x:c r="B182" s="11" t="n">
        <x:v>127</x:v>
      </x:c>
      <x:c r="C182" s="15" t="e">
        <x:f>HYPERLINK("https://pokecottage.com/pokemon-master-sets/pinsir","Pinsir")</x:f>
        <x:v>HYPERLINK is not implemented. linkLocation=https://pokecottage.com/pokemon-master-sets/pinsir, friendlyName=Pinsir</x:v>
      </x:c>
      <x:c r="D182" s="7" t="str">
        <x:v>Gen 1 • Kanto</x:v>
      </x:c>
      <x:c r="E182" s="7"/>
      <x:c r="F182" s="7"/>
    </x:row>
    <x:row r="183" ht="25" customHeight="1">
      <x:c r="A183" s="14" t="str">
        <x:v>☐</x:v>
      </x:c>
      <x:c r="B183" s="12" t="n">
        <x:v>127</x:v>
      </x:c>
      <x:c r="C183" s="16" t="e">
        <x:f>HYPERLINK("https://pokecottage.com/pokemon-master-sets/pinsir","Mega Pinsir")</x:f>
        <x:v>HYPERLINK is not implemented. linkLocation=https://pokecottage.com/pokemon-master-sets/pinsir, friendlyName=Mega Pinsir</x:v>
      </x:c>
      <x:c r="D183" s="8" t="str">
        <x:v>Mega Evolution</x:v>
      </x:c>
      <x:c r="E183" s="8"/>
      <x:c r="F183" s="8"/>
    </x:row>
    <x:row r="184" ht="25" customHeight="1">
      <x:c r="A184" s="13" t="str">
        <x:v>☐</x:v>
      </x:c>
      <x:c r="B184" s="11" t="n">
        <x:v>128</x:v>
      </x:c>
      <x:c r="C184" s="15" t="e">
        <x:f>HYPERLINK("https://pokecottage.com/pokemon-master-sets/tauros","Tauros")</x:f>
        <x:v>HYPERLINK is not implemented. linkLocation=https://pokecottage.com/pokemon-master-sets/tauros, friendlyName=Tauros</x:v>
      </x:c>
      <x:c r="D184" s="7" t="str">
        <x:v>Gen 1 • Kanto</x:v>
      </x:c>
      <x:c r="E184" s="7"/>
      <x:c r="F184" s="7"/>
    </x:row>
    <x:row r="185" ht="25" customHeight="1">
      <x:c r="A185" s="14" t="str">
        <x:v>☐</x:v>
      </x:c>
      <x:c r="B185" s="12" t="n">
        <x:v>128</x:v>
      </x:c>
      <x:c r="C185" s="16" t="e">
        <x:f>HYPERLINK("https://pokecottage.com/pokemon-master-sets/tauros","Paldean Tauros (Aqua Breed)")</x:f>
        <x:v>HYPERLINK is not implemented. linkLocation=https://pokecottage.com/pokemon-master-sets/tauros, friendlyName=Paldean Tauros (Aqua Breed)</x:v>
      </x:c>
      <x:c r="D185" s="8" t="str">
        <x:v>Regional</x:v>
      </x:c>
      <x:c r="E185" s="8"/>
      <x:c r="F185" s="8"/>
    </x:row>
    <x:row r="186" ht="25" customHeight="1">
      <x:c r="A186" s="13" t="str">
        <x:v>☐</x:v>
      </x:c>
      <x:c r="B186" s="11" t="n">
        <x:v>128</x:v>
      </x:c>
      <x:c r="C186" s="15" t="e">
        <x:f>HYPERLINK("https://pokecottage.com/pokemon-master-sets/tauros","Paldean Tauros (Blaze Breed)")</x:f>
        <x:v>HYPERLINK is not implemented. linkLocation=https://pokecottage.com/pokemon-master-sets/tauros, friendlyName=Paldean Tauros (Blaze Breed)</x:v>
      </x:c>
      <x:c r="D186" s="7" t="str">
        <x:v>Regional</x:v>
      </x:c>
      <x:c r="E186" s="7"/>
      <x:c r="F186" s="7"/>
    </x:row>
    <x:row r="187" ht="25" customHeight="1">
      <x:c r="A187" s="14" t="str">
        <x:v>☐</x:v>
      </x:c>
      <x:c r="B187" s="12" t="n">
        <x:v>128</x:v>
      </x:c>
      <x:c r="C187" s="16" t="e">
        <x:f>HYPERLINK("https://pokecottage.com/pokemon-master-sets/tauros","Paldean Tauros (Combat Breed)")</x:f>
        <x:v>HYPERLINK is not implemented. linkLocation=https://pokecottage.com/pokemon-master-sets/tauros, friendlyName=Paldean Tauros (Combat Breed)</x:v>
      </x:c>
      <x:c r="D187" s="8" t="str">
        <x:v>Regional</x:v>
      </x:c>
      <x:c r="E187" s="8"/>
      <x:c r="F187" s="8"/>
    </x:row>
    <x:row r="188" ht="25" customHeight="1">
      <x:c r="A188" s="13" t="str">
        <x:v>☐</x:v>
      </x:c>
      <x:c r="B188" s="11" t="n">
        <x:v>129</x:v>
      </x:c>
      <x:c r="C188" s="15" t="e">
        <x:f>HYPERLINK("https://pokecottage.com/pokemon-master-sets/magikarp","Magikarp")</x:f>
        <x:v>HYPERLINK is not implemented. linkLocation=https://pokecottage.com/pokemon-master-sets/magikarp, friendlyName=Magikarp</x:v>
      </x:c>
      <x:c r="D188" s="7" t="str">
        <x:v>Gen 1 • Kanto</x:v>
      </x:c>
      <x:c r="E188" s="7"/>
      <x:c r="F188" s="7"/>
    </x:row>
    <x:row r="189" ht="25" customHeight="1">
      <x:c r="A189" s="14" t="str">
        <x:v>☐</x:v>
      </x:c>
      <x:c r="B189" s="12" t="n">
        <x:v>130</x:v>
      </x:c>
      <x:c r="C189" s="16" t="e">
        <x:f>HYPERLINK("https://pokecottage.com/pokemon-master-sets/gyarados","Gyarados")</x:f>
        <x:v>HYPERLINK is not implemented. linkLocation=https://pokecottage.com/pokemon-master-sets/gyarados, friendlyName=Gyarados</x:v>
      </x:c>
      <x:c r="D189" s="8" t="str">
        <x:v>Gen 1 • Kanto</x:v>
      </x:c>
      <x:c r="E189" s="8"/>
      <x:c r="F189" s="8"/>
    </x:row>
    <x:row r="190" ht="25" customHeight="1">
      <x:c r="A190" s="13" t="str">
        <x:v>☐</x:v>
      </x:c>
      <x:c r="B190" s="11" t="n">
        <x:v>130</x:v>
      </x:c>
      <x:c r="C190" s="15" t="e">
        <x:f>HYPERLINK("https://pokecottage.com/pokemon-master-sets/gyarados","Mega Gyarados")</x:f>
        <x:v>HYPERLINK is not implemented. linkLocation=https://pokecottage.com/pokemon-master-sets/gyarados, friendlyName=Mega Gyarados</x:v>
      </x:c>
      <x:c r="D190" s="7" t="str">
        <x:v>Mega Evolution</x:v>
      </x:c>
      <x:c r="E190" s="7"/>
      <x:c r="F190" s="7"/>
    </x:row>
    <x:row r="191" ht="25" customHeight="1">
      <x:c r="A191" s="14" t="str">
        <x:v>☐</x:v>
      </x:c>
      <x:c r="B191" s="12" t="n">
        <x:v>131</x:v>
      </x:c>
      <x:c r="C191" s="16" t="e">
        <x:f>HYPERLINK("https://pokecottage.com/pokemon-master-sets/lapras","Lapras")</x:f>
        <x:v>HYPERLINK is not implemented. linkLocation=https://pokecottage.com/pokemon-master-sets/lapras, friendlyName=Lapras</x:v>
      </x:c>
      <x:c r="D191" s="8" t="str">
        <x:v>Gen 1 • Kanto</x:v>
      </x:c>
      <x:c r="E191" s="8"/>
      <x:c r="F191" s="8"/>
    </x:row>
    <x:row r="192" ht="25" customHeight="1">
      <x:c r="A192" s="13" t="str">
        <x:v>☐</x:v>
      </x:c>
      <x:c r="B192" s="11" t="n">
        <x:v>131</x:v>
      </x:c>
      <x:c r="C192" s="15" t="e">
        <x:f>HYPERLINK("https://pokecottage.com/pokemon-master-sets/lapras","Gigantamax Lapras")</x:f>
        <x:v>HYPERLINK is not implemented. linkLocation=https://pokecottage.com/pokemon-master-sets/lapras, friendlyName=Gigantamax Lapras</x:v>
      </x:c>
      <x:c r="D192" s="7" t="str">
        <x:v>Gigantamax</x:v>
      </x:c>
      <x:c r="E192" s="7"/>
      <x:c r="F192" s="7"/>
    </x:row>
    <x:row r="193" ht="25" customHeight="1">
      <x:c r="A193" s="14" t="str">
        <x:v>☐</x:v>
      </x:c>
      <x:c r="B193" s="12" t="n">
        <x:v>132</x:v>
      </x:c>
      <x:c r="C193" s="16" t="e">
        <x:f>HYPERLINK("https://pokecottage.com/pokemon-master-sets/ditto","Ditto")</x:f>
        <x:v>HYPERLINK is not implemented. linkLocation=https://pokecottage.com/pokemon-master-sets/ditto, friendlyName=Ditto</x:v>
      </x:c>
      <x:c r="D193" s="8" t="str">
        <x:v>Gen 1 • Kanto</x:v>
      </x:c>
      <x:c r="E193" s="8"/>
      <x:c r="F193" s="8"/>
    </x:row>
    <x:row r="194" ht="25" customHeight="1">
      <x:c r="A194" s="13" t="str">
        <x:v>☐</x:v>
      </x:c>
      <x:c r="B194" s="11" t="n">
        <x:v>133</x:v>
      </x:c>
      <x:c r="C194" s="15" t="e">
        <x:f>HYPERLINK("https://pokecottage.com/pokemon-master-sets/eevee","Eevee")</x:f>
        <x:v>HYPERLINK is not implemented. linkLocation=https://pokecottage.com/pokemon-master-sets/eevee, friendlyName=Eevee</x:v>
      </x:c>
      <x:c r="D194" s="7" t="str">
        <x:v>Gen 1 • Kanto</x:v>
      </x:c>
      <x:c r="E194" s="7"/>
      <x:c r="F194" s="7"/>
    </x:row>
    <x:row r="195" ht="25" customHeight="1">
      <x:c r="A195" s="14" t="str">
        <x:v>☐</x:v>
      </x:c>
      <x:c r="B195" s="12" t="n">
        <x:v>133</x:v>
      </x:c>
      <x:c r="C195" s="16" t="e">
        <x:f>HYPERLINK("https://pokecottage.com/pokemon-master-sets/eevee","Gigantamax Eevee")</x:f>
        <x:v>HYPERLINK is not implemented. linkLocation=https://pokecottage.com/pokemon-master-sets/eevee, friendlyName=Gigantamax Eevee</x:v>
      </x:c>
      <x:c r="D195" s="8" t="str">
        <x:v>Gigantamax</x:v>
      </x:c>
      <x:c r="E195" s="8"/>
      <x:c r="F195" s="8"/>
    </x:row>
    <x:row r="196" ht="25" customHeight="1">
      <x:c r="A196" s="13" t="str">
        <x:v>☐</x:v>
      </x:c>
      <x:c r="B196" s="11" t="n">
        <x:v>134</x:v>
      </x:c>
      <x:c r="C196" s="15" t="e">
        <x:f>HYPERLINK("https://pokecottage.com/pokemon-master-sets/vaporeon","Vaporeon")</x:f>
        <x:v>HYPERLINK is not implemented. linkLocation=https://pokecottage.com/pokemon-master-sets/vaporeon, friendlyName=Vaporeon</x:v>
      </x:c>
      <x:c r="D196" s="7" t="str">
        <x:v>Gen 1 • Kanto</x:v>
      </x:c>
      <x:c r="E196" s="7"/>
      <x:c r="F196" s="7"/>
    </x:row>
    <x:row r="197" ht="25" customHeight="1">
      <x:c r="A197" s="14" t="str">
        <x:v>☐</x:v>
      </x:c>
      <x:c r="B197" s="12" t="n">
        <x:v>135</x:v>
      </x:c>
      <x:c r="C197" s="16" t="e">
        <x:f>HYPERLINK("https://pokecottage.com/pokemon-master-sets/jolteon","Jolteon")</x:f>
        <x:v>HYPERLINK is not implemented. linkLocation=https://pokecottage.com/pokemon-master-sets/jolteon, friendlyName=Jolteon</x:v>
      </x:c>
      <x:c r="D197" s="8" t="str">
        <x:v>Gen 1 • Kanto</x:v>
      </x:c>
      <x:c r="E197" s="8"/>
      <x:c r="F197" s="8"/>
    </x:row>
    <x:row r="198" ht="25" customHeight="1">
      <x:c r="A198" s="13" t="str">
        <x:v>☐</x:v>
      </x:c>
      <x:c r="B198" s="11" t="n">
        <x:v>136</x:v>
      </x:c>
      <x:c r="C198" s="15" t="e">
        <x:f>HYPERLINK("https://pokecottage.com/pokemon-master-sets/flareon","Flareon")</x:f>
        <x:v>HYPERLINK is not implemented. linkLocation=https://pokecottage.com/pokemon-master-sets/flareon, friendlyName=Flareon</x:v>
      </x:c>
      <x:c r="D198" s="7" t="str">
        <x:v>Gen 1 • Kanto</x:v>
      </x:c>
      <x:c r="E198" s="7"/>
      <x:c r="F198" s="7"/>
    </x:row>
    <x:row r="199" ht="25" customHeight="1">
      <x:c r="A199" s="14" t="str">
        <x:v>☐</x:v>
      </x:c>
      <x:c r="B199" s="12" t="n">
        <x:v>137</x:v>
      </x:c>
      <x:c r="C199" s="16" t="e">
        <x:f>HYPERLINK("https://pokecottage.com/pokemon-master-sets/porygon","Porygon")</x:f>
        <x:v>HYPERLINK is not implemented. linkLocation=https://pokecottage.com/pokemon-master-sets/porygon, friendlyName=Porygon</x:v>
      </x:c>
      <x:c r="D199" s="8" t="str">
        <x:v>Gen 1 • Kanto</x:v>
      </x:c>
      <x:c r="E199" s="8"/>
      <x:c r="F199" s="8"/>
    </x:row>
    <x:row r="200" ht="25" customHeight="1">
      <x:c r="A200" s="13" t="str">
        <x:v>☐</x:v>
      </x:c>
      <x:c r="B200" s="11" t="n">
        <x:v>138</x:v>
      </x:c>
      <x:c r="C200" s="15" t="e">
        <x:f>HYPERLINK("https://pokecottage.com/pokemon-master-sets/omanyte","Omanyte")</x:f>
        <x:v>HYPERLINK is not implemented. linkLocation=https://pokecottage.com/pokemon-master-sets/omanyte, friendlyName=Omanyte</x:v>
      </x:c>
      <x:c r="D200" s="7" t="str">
        <x:v>Gen 1 • Kanto</x:v>
      </x:c>
      <x:c r="E200" s="7"/>
      <x:c r="F200" s="7"/>
    </x:row>
    <x:row r="201" ht="25" customHeight="1">
      <x:c r="A201" s="14" t="str">
        <x:v>☐</x:v>
      </x:c>
      <x:c r="B201" s="12" t="n">
        <x:v>139</x:v>
      </x:c>
      <x:c r="C201" s="16" t="e">
        <x:f>HYPERLINK("https://pokecottage.com/pokemon-master-sets/omastar","Omastar")</x:f>
        <x:v>HYPERLINK is not implemented. linkLocation=https://pokecottage.com/pokemon-master-sets/omastar, friendlyName=Omastar</x:v>
      </x:c>
      <x:c r="D201" s="8" t="str">
        <x:v>Gen 1 • Kanto</x:v>
      </x:c>
      <x:c r="E201" s="8"/>
      <x:c r="F201" s="8"/>
    </x:row>
    <x:row r="202" ht="25" customHeight="1">
      <x:c r="A202" s="13" t="str">
        <x:v>☐</x:v>
      </x:c>
      <x:c r="B202" s="11" t="n">
        <x:v>140</x:v>
      </x:c>
      <x:c r="C202" s="15" t="e">
        <x:f>HYPERLINK("https://pokecottage.com/pokemon-master-sets/kabuto","Kabuto")</x:f>
        <x:v>HYPERLINK is not implemented. linkLocation=https://pokecottage.com/pokemon-master-sets/kabuto, friendlyName=Kabuto</x:v>
      </x:c>
      <x:c r="D202" s="7" t="str">
        <x:v>Gen 1 • Kanto</x:v>
      </x:c>
      <x:c r="E202" s="7"/>
      <x:c r="F202" s="7"/>
    </x:row>
    <x:row r="203" ht="25" customHeight="1">
      <x:c r="A203" s="14" t="str">
        <x:v>☐</x:v>
      </x:c>
      <x:c r="B203" s="12" t="n">
        <x:v>141</x:v>
      </x:c>
      <x:c r="C203" s="16" t="e">
        <x:f>HYPERLINK("https://pokecottage.com/pokemon-master-sets/kabutops","Kabutops")</x:f>
        <x:v>HYPERLINK is not implemented. linkLocation=https://pokecottage.com/pokemon-master-sets/kabutops, friendlyName=Kabutops</x:v>
      </x:c>
      <x:c r="D203" s="8" t="str">
        <x:v>Gen 1 • Kanto</x:v>
      </x:c>
      <x:c r="E203" s="8"/>
      <x:c r="F203" s="8"/>
    </x:row>
    <x:row r="204" ht="25" customHeight="1">
      <x:c r="A204" s="13" t="str">
        <x:v>☐</x:v>
      </x:c>
      <x:c r="B204" s="11" t="n">
        <x:v>142</x:v>
      </x:c>
      <x:c r="C204" s="15" t="e">
        <x:f>HYPERLINK("https://pokecottage.com/pokemon-master-sets/aerodactyl","Aerodactyl")</x:f>
        <x:v>HYPERLINK is not implemented. linkLocation=https://pokecottage.com/pokemon-master-sets/aerodactyl, friendlyName=Aerodactyl</x:v>
      </x:c>
      <x:c r="D204" s="7" t="str">
        <x:v>Gen 1 • Kanto</x:v>
      </x:c>
      <x:c r="E204" s="7"/>
      <x:c r="F204" s="7"/>
    </x:row>
    <x:row r="205" ht="25" customHeight="1">
      <x:c r="A205" s="14" t="str">
        <x:v>☐</x:v>
      </x:c>
      <x:c r="B205" s="12" t="n">
        <x:v>142</x:v>
      </x:c>
      <x:c r="C205" s="16" t="e">
        <x:f>HYPERLINK("https://pokecottage.com/pokemon-master-sets/aerodactyl","Mega Aerodactyl")</x:f>
        <x:v>HYPERLINK is not implemented. linkLocation=https://pokecottage.com/pokemon-master-sets/aerodactyl, friendlyName=Mega Aerodactyl</x:v>
      </x:c>
      <x:c r="D205" s="8" t="str">
        <x:v>Mega Evolution</x:v>
      </x:c>
      <x:c r="E205" s="8"/>
      <x:c r="F205" s="8"/>
    </x:row>
    <x:row r="206" ht="25" customHeight="1">
      <x:c r="A206" s="13" t="str">
        <x:v>☐</x:v>
      </x:c>
      <x:c r="B206" s="11" t="n">
        <x:v>143</x:v>
      </x:c>
      <x:c r="C206" s="15" t="e">
        <x:f>HYPERLINK("https://pokecottage.com/pokemon-master-sets/snorlax","Snorlax")</x:f>
        <x:v>HYPERLINK is not implemented. linkLocation=https://pokecottage.com/pokemon-master-sets/snorlax, friendlyName=Snorlax</x:v>
      </x:c>
      <x:c r="D206" s="7" t="str">
        <x:v>Gen 1 • Kanto</x:v>
      </x:c>
      <x:c r="E206" s="7"/>
      <x:c r="F206" s="7"/>
    </x:row>
    <x:row r="207" ht="25" customHeight="1">
      <x:c r="A207" s="14" t="str">
        <x:v>☐</x:v>
      </x:c>
      <x:c r="B207" s="12" t="n">
        <x:v>143</x:v>
      </x:c>
      <x:c r="C207" s="16" t="e">
        <x:f>HYPERLINK("https://pokecottage.com/pokemon-master-sets/snorlax","Gigantamax Snorlax")</x:f>
        <x:v>HYPERLINK is not implemented. linkLocation=https://pokecottage.com/pokemon-master-sets/snorlax, friendlyName=Gigantamax Snorlax</x:v>
      </x:c>
      <x:c r="D207" s="8" t="str">
        <x:v>Gigantamax</x:v>
      </x:c>
      <x:c r="E207" s="8"/>
      <x:c r="F207" s="8"/>
    </x:row>
    <x:row r="208" ht="25" customHeight="1">
      <x:c r="A208" s="13" t="str">
        <x:v>☐</x:v>
      </x:c>
      <x:c r="B208" s="11" t="n">
        <x:v>144</x:v>
      </x:c>
      <x:c r="C208" s="15" t="e">
        <x:f>HYPERLINK("https://pokecottage.com/pokemon-master-sets/articuno","Articuno")</x:f>
        <x:v>HYPERLINK is not implemented. linkLocation=https://pokecottage.com/pokemon-master-sets/articuno, friendlyName=Articuno</x:v>
      </x:c>
      <x:c r="D208" s="7" t="str">
        <x:v>Gen 1 • Kanto</x:v>
      </x:c>
      <x:c r="E208" s="7"/>
      <x:c r="F208" s="7"/>
    </x:row>
    <x:row r="209" ht="25" customHeight="1">
      <x:c r="A209" s="14" t="str">
        <x:v>☐</x:v>
      </x:c>
      <x:c r="B209" s="12" t="n">
        <x:v>144</x:v>
      </x:c>
      <x:c r="C209" s="16" t="e">
        <x:f>HYPERLINK("https://pokecottage.com/pokemon-master-sets/articuno","Galarian Articuno")</x:f>
        <x:v>HYPERLINK is not implemented. linkLocation=https://pokecottage.com/pokemon-master-sets/articuno, friendlyName=Galarian Articuno</x:v>
      </x:c>
      <x:c r="D209" s="8" t="str">
        <x:v>Regional</x:v>
      </x:c>
      <x:c r="E209" s="8"/>
      <x:c r="F209" s="8"/>
    </x:row>
    <x:row r="210" ht="25" customHeight="1">
      <x:c r="A210" s="13" t="str">
        <x:v>☐</x:v>
      </x:c>
      <x:c r="B210" s="11" t="n">
        <x:v>145</x:v>
      </x:c>
      <x:c r="C210" s="15" t="e">
        <x:f>HYPERLINK("https://pokecottage.com/pokemon-master-sets/zapdos","Zapdos")</x:f>
        <x:v>HYPERLINK is not implemented. linkLocation=https://pokecottage.com/pokemon-master-sets/zapdos, friendlyName=Zapdos</x:v>
      </x:c>
      <x:c r="D210" s="7" t="str">
        <x:v>Gen 1 • Kanto</x:v>
      </x:c>
      <x:c r="E210" s="7"/>
      <x:c r="F210" s="7"/>
    </x:row>
    <x:row r="211" ht="25" customHeight="1">
      <x:c r="A211" s="14" t="str">
        <x:v>☐</x:v>
      </x:c>
      <x:c r="B211" s="12" t="n">
        <x:v>145</x:v>
      </x:c>
      <x:c r="C211" s="16" t="e">
        <x:f>HYPERLINK("https://pokecottage.com/pokemon-master-sets/zapdos","Galarian Zapdos")</x:f>
        <x:v>HYPERLINK is not implemented. linkLocation=https://pokecottage.com/pokemon-master-sets/zapdos, friendlyName=Galarian Zapdos</x:v>
      </x:c>
      <x:c r="D211" s="8" t="str">
        <x:v>Regional</x:v>
      </x:c>
      <x:c r="E211" s="8"/>
      <x:c r="F211" s="8"/>
    </x:row>
    <x:row r="212" ht="25" customHeight="1">
      <x:c r="A212" s="13" t="str">
        <x:v>☐</x:v>
      </x:c>
      <x:c r="B212" s="11" t="n">
        <x:v>146</x:v>
      </x:c>
      <x:c r="C212" s="15" t="e">
        <x:f>HYPERLINK("https://pokecottage.com/pokemon-master-sets/moltres","Moltres")</x:f>
        <x:v>HYPERLINK is not implemented. linkLocation=https://pokecottage.com/pokemon-master-sets/moltres, friendlyName=Moltres</x:v>
      </x:c>
      <x:c r="D212" s="7" t="str">
        <x:v>Gen 1 • Kanto</x:v>
      </x:c>
      <x:c r="E212" s="7"/>
      <x:c r="F212" s="7"/>
    </x:row>
    <x:row r="213" ht="25" customHeight="1">
      <x:c r="A213" s="14" t="str">
        <x:v>☐</x:v>
      </x:c>
      <x:c r="B213" s="12" t="n">
        <x:v>146</x:v>
      </x:c>
      <x:c r="C213" s="16" t="e">
        <x:f>HYPERLINK("https://pokecottage.com/pokemon-master-sets/moltres","Galarian Moltres")</x:f>
        <x:v>HYPERLINK is not implemented. linkLocation=https://pokecottage.com/pokemon-master-sets/moltres, friendlyName=Galarian Moltres</x:v>
      </x:c>
      <x:c r="D213" s="8" t="str">
        <x:v>Regional</x:v>
      </x:c>
      <x:c r="E213" s="8"/>
      <x:c r="F213" s="8"/>
    </x:row>
    <x:row r="214" ht="25" customHeight="1">
      <x:c r="A214" s="13" t="str">
        <x:v>☐</x:v>
      </x:c>
      <x:c r="B214" s="11" t="n">
        <x:v>147</x:v>
      </x:c>
      <x:c r="C214" s="15" t="e">
        <x:f>HYPERLINK("https://pokecottage.com/pokemon-master-sets/dratini","Dratini")</x:f>
        <x:v>HYPERLINK is not implemented. linkLocation=https://pokecottage.com/pokemon-master-sets/dratini, friendlyName=Dratini</x:v>
      </x:c>
      <x:c r="D214" s="7" t="str">
        <x:v>Gen 1 • Kanto</x:v>
      </x:c>
      <x:c r="E214" s="7"/>
      <x:c r="F214" s="7"/>
    </x:row>
    <x:row r="215" ht="25" customHeight="1">
      <x:c r="A215" s="14" t="str">
        <x:v>☐</x:v>
      </x:c>
      <x:c r="B215" s="12" t="n">
        <x:v>148</x:v>
      </x:c>
      <x:c r="C215" s="16" t="e">
        <x:f>HYPERLINK("https://pokecottage.com/pokemon-master-sets/dragonair","Dragonair")</x:f>
        <x:v>HYPERLINK is not implemented. linkLocation=https://pokecottage.com/pokemon-master-sets/dragonair, friendlyName=Dragonair</x:v>
      </x:c>
      <x:c r="D215" s="8" t="str">
        <x:v>Gen 1 • Kanto</x:v>
      </x:c>
      <x:c r="E215" s="8"/>
      <x:c r="F215" s="8"/>
    </x:row>
    <x:row r="216" ht="25" customHeight="1">
      <x:c r="A216" s="13" t="str">
        <x:v>☐</x:v>
      </x:c>
      <x:c r="B216" s="11" t="n">
        <x:v>149</x:v>
      </x:c>
      <x:c r="C216" s="15" t="e">
        <x:f>HYPERLINK("https://pokecottage.com/pokemon-master-sets/dragonite","Dragonite")</x:f>
        <x:v>HYPERLINK is not implemented. linkLocation=https://pokecottage.com/pokemon-master-sets/dragonite, friendlyName=Dragonite</x:v>
      </x:c>
      <x:c r="D216" s="7" t="str">
        <x:v>Gen 1 • Kanto</x:v>
      </x:c>
      <x:c r="E216" s="7"/>
      <x:c r="F216" s="7"/>
    </x:row>
    <x:row r="217" ht="25" customHeight="1">
      <x:c r="A217" s="14" t="str">
        <x:v>☐</x:v>
      </x:c>
      <x:c r="B217" s="12" t="n">
        <x:v>149</x:v>
      </x:c>
      <x:c r="C217" s="16" t="e">
        <x:f>HYPERLINK("https://pokecottage.com/pokemon-master-sets/dragonite","Mega Dragonite")</x:f>
        <x:v>HYPERLINK is not implemented. linkLocation=https://pokecottage.com/pokemon-master-sets/dragonite, friendlyName=Mega Dragonite</x:v>
      </x:c>
      <x:c r="D217" s="8" t="str">
        <x:v>Mega Evolution</x:v>
      </x:c>
      <x:c r="E217" s="8"/>
      <x:c r="F217" s="8"/>
    </x:row>
    <x:row r="218" ht="25" customHeight="1">
      <x:c r="A218" s="13" t="str">
        <x:v>☐</x:v>
      </x:c>
      <x:c r="B218" s="11" t="n">
        <x:v>150</x:v>
      </x:c>
      <x:c r="C218" s="15" t="e">
        <x:f>HYPERLINK("https://pokecottage.com/pokemon-master-sets/mewtwo","Mewtwo")</x:f>
        <x:v>HYPERLINK is not implemented. linkLocation=https://pokecottage.com/pokemon-master-sets/mewtwo, friendlyName=Mewtwo</x:v>
      </x:c>
      <x:c r="D218" s="7" t="str">
        <x:v>Gen 1 • Kanto</x:v>
      </x:c>
      <x:c r="E218" s="7"/>
      <x:c r="F218" s="7"/>
    </x:row>
    <x:row r="219" ht="25" customHeight="1">
      <x:c r="A219" s="14" t="str">
        <x:v>☐</x:v>
      </x:c>
      <x:c r="B219" s="12" t="n">
        <x:v>150</x:v>
      </x:c>
      <x:c r="C219" s="16" t="e">
        <x:f>HYPERLINK("https://pokecottage.com/pokemon-master-sets/mewtwo","Mega Mewtwo X")</x:f>
        <x:v>HYPERLINK is not implemented. linkLocation=https://pokecottage.com/pokemon-master-sets/mewtwo, friendlyName=Mega Mewtwo X</x:v>
      </x:c>
      <x:c r="D219" s="8" t="str">
        <x:v>Mega Evolution</x:v>
      </x:c>
      <x:c r="E219" s="8"/>
      <x:c r="F219" s="8"/>
    </x:row>
    <x:row r="220" ht="25" customHeight="1">
      <x:c r="A220" s="13" t="str">
        <x:v>☐</x:v>
      </x:c>
      <x:c r="B220" s="11" t="n">
        <x:v>150</x:v>
      </x:c>
      <x:c r="C220" s="15" t="e">
        <x:f>HYPERLINK("https://pokecottage.com/pokemon-master-sets/mewtwo","Mega Mewtwo Y")</x:f>
        <x:v>HYPERLINK is not implemented. linkLocation=https://pokecottage.com/pokemon-master-sets/mewtwo, friendlyName=Mega Mewtwo Y</x:v>
      </x:c>
      <x:c r="D220" s="7" t="str">
        <x:v>Mega Evolution</x:v>
      </x:c>
      <x:c r="E220" s="7"/>
      <x:c r="F220" s="7"/>
    </x:row>
    <x:row r="221" ht="25" customHeight="1">
      <x:c r="A221" s="14" t="str">
        <x:v>☐</x:v>
      </x:c>
      <x:c r="B221" s="12" t="n">
        <x:v>151</x:v>
      </x:c>
      <x:c r="C221" s="16" t="e">
        <x:f>HYPERLINK("https://pokecottage.com/pokemon-master-sets/mew","Mew")</x:f>
        <x:v>HYPERLINK is not implemented. linkLocation=https://pokecottage.com/pokemon-master-sets/mew, friendlyName=Mew</x:v>
      </x:c>
      <x:c r="D221" s="8" t="str">
        <x:v>Gen 1 • Kanto</x:v>
      </x:c>
      <x:c r="E221" s="8"/>
      <x:c r="F221" s="8"/>
    </x:row>
    <x:row r="222" ht="25" customHeight="1">
      <x:c r="A222" s="13" t="str">
        <x:v>☐</x:v>
      </x:c>
      <x:c r="B222" s="11" t="n">
        <x:v>152</x:v>
      </x:c>
      <x:c r="C222" s="15" t="e">
        <x:f>HYPERLINK("https://pokecottage.com/pokemon-master-sets/chikorita","Chikorita")</x:f>
        <x:v>HYPERLINK is not implemented. linkLocation=https://pokecottage.com/pokemon-master-sets/chikorita, friendlyName=Chikorita</x:v>
      </x:c>
      <x:c r="D222" s="7" t="str">
        <x:v>Gen 2 • Johto</x:v>
      </x:c>
      <x:c r="E222" s="7"/>
      <x:c r="F222" s="7"/>
    </x:row>
    <x:row r="223" ht="25" customHeight="1">
      <x:c r="A223" s="14" t="str">
        <x:v>☐</x:v>
      </x:c>
      <x:c r="B223" s="12" t="n">
        <x:v>153</x:v>
      </x:c>
      <x:c r="C223" s="16" t="e">
        <x:f>HYPERLINK("https://pokecottage.com/pokemon-master-sets/bayleef","Bayleef")</x:f>
        <x:v>HYPERLINK is not implemented. linkLocation=https://pokecottage.com/pokemon-master-sets/bayleef, friendlyName=Bayleef</x:v>
      </x:c>
      <x:c r="D223" s="8" t="str">
        <x:v>Gen 2 • Johto</x:v>
      </x:c>
      <x:c r="E223" s="8"/>
      <x:c r="F223" s="8"/>
    </x:row>
    <x:row r="224" ht="25" customHeight="1">
      <x:c r="A224" s="13" t="str">
        <x:v>☐</x:v>
      </x:c>
      <x:c r="B224" s="11" t="n">
        <x:v>154</x:v>
      </x:c>
      <x:c r="C224" s="15" t="e">
        <x:f>HYPERLINK("https://pokecottage.com/pokemon-master-sets/meganium","Meganium")</x:f>
        <x:v>HYPERLINK is not implemented. linkLocation=https://pokecottage.com/pokemon-master-sets/meganium, friendlyName=Meganium</x:v>
      </x:c>
      <x:c r="D224" s="7" t="str">
        <x:v>Gen 2 • Johto</x:v>
      </x:c>
      <x:c r="E224" s="7"/>
      <x:c r="F224" s="7"/>
    </x:row>
    <x:row r="225" ht="25" customHeight="1">
      <x:c r="A225" s="14" t="str">
        <x:v>☐</x:v>
      </x:c>
      <x:c r="B225" s="12" t="n">
        <x:v>154</x:v>
      </x:c>
      <x:c r="C225" s="16" t="e">
        <x:f>HYPERLINK("https://pokecottage.com/pokemon-master-sets/meganium","Mega Meganium")</x:f>
        <x:v>HYPERLINK is not implemented. linkLocation=https://pokecottage.com/pokemon-master-sets/meganium, friendlyName=Mega Meganium</x:v>
      </x:c>
      <x:c r="D225" s="8" t="str">
        <x:v>Mega Evolution</x:v>
      </x:c>
      <x:c r="E225" s="8"/>
      <x:c r="F225" s="8"/>
    </x:row>
    <x:row r="226" ht="25" customHeight="1">
      <x:c r="A226" s="13" t="str">
        <x:v>☐</x:v>
      </x:c>
      <x:c r="B226" s="11" t="n">
        <x:v>155</x:v>
      </x:c>
      <x:c r="C226" s="15" t="e">
        <x:f>HYPERLINK("https://pokecottage.com/pokemon-master-sets/cyndaquil","Cyndaquil")</x:f>
        <x:v>HYPERLINK is not implemented. linkLocation=https://pokecottage.com/pokemon-master-sets/cyndaquil, friendlyName=Cyndaquil</x:v>
      </x:c>
      <x:c r="D226" s="7" t="str">
        <x:v>Gen 2 • Johto</x:v>
      </x:c>
      <x:c r="E226" s="7"/>
      <x:c r="F226" s="7"/>
    </x:row>
    <x:row r="227" ht="25" customHeight="1">
      <x:c r="A227" s="14" t="str">
        <x:v>☐</x:v>
      </x:c>
      <x:c r="B227" s="12" t="n">
        <x:v>156</x:v>
      </x:c>
      <x:c r="C227" s="16" t="e">
        <x:f>HYPERLINK("https://pokecottage.com/pokemon-master-sets/quilava","Quilava")</x:f>
        <x:v>HYPERLINK is not implemented. linkLocation=https://pokecottage.com/pokemon-master-sets/quilava, friendlyName=Quilava</x:v>
      </x:c>
      <x:c r="D227" s="8" t="str">
        <x:v>Gen 2 • Johto</x:v>
      </x:c>
      <x:c r="E227" s="8"/>
      <x:c r="F227" s="8"/>
    </x:row>
    <x:row r="228" ht="25" customHeight="1">
      <x:c r="A228" s="13" t="str">
        <x:v>☐</x:v>
      </x:c>
      <x:c r="B228" s="11" t="n">
        <x:v>157</x:v>
      </x:c>
      <x:c r="C228" s="15" t="e">
        <x:f>HYPERLINK("https://pokecottage.com/pokemon-master-sets/typhlosion","Typhlosion")</x:f>
        <x:v>HYPERLINK is not implemented. linkLocation=https://pokecottage.com/pokemon-master-sets/typhlosion, friendlyName=Typhlosion</x:v>
      </x:c>
      <x:c r="D228" s="7" t="str">
        <x:v>Gen 2 • Johto</x:v>
      </x:c>
      <x:c r="E228" s="7"/>
      <x:c r="F228" s="7"/>
    </x:row>
    <x:row r="229" ht="25" customHeight="1">
      <x:c r="A229" s="14" t="str">
        <x:v>☐</x:v>
      </x:c>
      <x:c r="B229" s="12" t="n">
        <x:v>157</x:v>
      </x:c>
      <x:c r="C229" s="16" t="e">
        <x:f>HYPERLINK("https://pokecottage.com/pokemon-master-sets/typhlosion","Hisuian Typhlosion")</x:f>
        <x:v>HYPERLINK is not implemented. linkLocation=https://pokecottage.com/pokemon-master-sets/typhlosion, friendlyName=Hisuian Typhlosion</x:v>
      </x:c>
      <x:c r="D229" s="8" t="str">
        <x:v>Regional</x:v>
      </x:c>
      <x:c r="E229" s="8"/>
      <x:c r="F229" s="8"/>
    </x:row>
    <x:row r="230" ht="25" customHeight="1">
      <x:c r="A230" s="13" t="str">
        <x:v>☐</x:v>
      </x:c>
      <x:c r="B230" s="11" t="n">
        <x:v>158</x:v>
      </x:c>
      <x:c r="C230" s="15" t="e">
        <x:f>HYPERLINK("https://pokecottage.com/pokemon-master-sets/totodile","Totodile")</x:f>
        <x:v>HYPERLINK is not implemented. linkLocation=https://pokecottage.com/pokemon-master-sets/totodile, friendlyName=Totodile</x:v>
      </x:c>
      <x:c r="D230" s="7" t="str">
        <x:v>Gen 2 • Johto</x:v>
      </x:c>
      <x:c r="E230" s="7"/>
      <x:c r="F230" s="7"/>
    </x:row>
    <x:row r="231" ht="25" customHeight="1">
      <x:c r="A231" s="14" t="str">
        <x:v>☐</x:v>
      </x:c>
      <x:c r="B231" s="12" t="n">
        <x:v>159</x:v>
      </x:c>
      <x:c r="C231" s="16" t="e">
        <x:f>HYPERLINK("https://pokecottage.com/pokemon-master-sets/croconaw","Croconaw")</x:f>
        <x:v>HYPERLINK is not implemented. linkLocation=https://pokecottage.com/pokemon-master-sets/croconaw, friendlyName=Croconaw</x:v>
      </x:c>
      <x:c r="D231" s="8" t="str">
        <x:v>Gen 2 • Johto</x:v>
      </x:c>
      <x:c r="E231" s="8"/>
      <x:c r="F231" s="8"/>
    </x:row>
    <x:row r="232" ht="25" customHeight="1">
      <x:c r="A232" s="13" t="str">
        <x:v>☐</x:v>
      </x:c>
      <x:c r="B232" s="11" t="n">
        <x:v>160</x:v>
      </x:c>
      <x:c r="C232" s="15" t="e">
        <x:f>HYPERLINK("https://pokecottage.com/pokemon-master-sets/feraligatr","Feraligatr")</x:f>
        <x:v>HYPERLINK is not implemented. linkLocation=https://pokecottage.com/pokemon-master-sets/feraligatr, friendlyName=Feraligatr</x:v>
      </x:c>
      <x:c r="D232" s="7" t="str">
        <x:v>Gen 2 • Johto</x:v>
      </x:c>
      <x:c r="E232" s="7"/>
      <x:c r="F232" s="7"/>
    </x:row>
    <x:row r="233" ht="25" customHeight="1">
      <x:c r="A233" s="14" t="str">
        <x:v>☐</x:v>
      </x:c>
      <x:c r="B233" s="12" t="n">
        <x:v>160</x:v>
      </x:c>
      <x:c r="C233" s="16" t="e">
        <x:f>HYPERLINK("https://pokecottage.com/pokemon-master-sets/feraligatr","Mega Feraligatr")</x:f>
        <x:v>HYPERLINK is not implemented. linkLocation=https://pokecottage.com/pokemon-master-sets/feraligatr, friendlyName=Mega Feraligatr</x:v>
      </x:c>
      <x:c r="D233" s="8" t="str">
        <x:v>Mega Evolution</x:v>
      </x:c>
      <x:c r="E233" s="8"/>
      <x:c r="F233" s="8"/>
    </x:row>
    <x:row r="234" ht="25" customHeight="1">
      <x:c r="A234" s="13" t="str">
        <x:v>☐</x:v>
      </x:c>
      <x:c r="B234" s="11" t="n">
        <x:v>161</x:v>
      </x:c>
      <x:c r="C234" s="15" t="e">
        <x:f>HYPERLINK("https://pokecottage.com/pokemon-master-sets/sentret","Sentret")</x:f>
        <x:v>HYPERLINK is not implemented. linkLocation=https://pokecottage.com/pokemon-master-sets/sentret, friendlyName=Sentret</x:v>
      </x:c>
      <x:c r="D234" s="7" t="str">
        <x:v>Gen 2 • Johto</x:v>
      </x:c>
      <x:c r="E234" s="7"/>
      <x:c r="F234" s="7"/>
    </x:row>
    <x:row r="235" ht="25" customHeight="1">
      <x:c r="A235" s="14" t="str">
        <x:v>☐</x:v>
      </x:c>
      <x:c r="B235" s="12" t="n">
        <x:v>162</x:v>
      </x:c>
      <x:c r="C235" s="16" t="e">
        <x:f>HYPERLINK("https://pokecottage.com/pokemon-master-sets/furret","Furret")</x:f>
        <x:v>HYPERLINK is not implemented. linkLocation=https://pokecottage.com/pokemon-master-sets/furret, friendlyName=Furret</x:v>
      </x:c>
      <x:c r="D235" s="8" t="str">
        <x:v>Gen 2 • Johto</x:v>
      </x:c>
      <x:c r="E235" s="8"/>
      <x:c r="F235" s="8"/>
    </x:row>
    <x:row r="236" ht="25" customHeight="1">
      <x:c r="A236" s="13" t="str">
        <x:v>☐</x:v>
      </x:c>
      <x:c r="B236" s="11" t="n">
        <x:v>163</x:v>
      </x:c>
      <x:c r="C236" s="15" t="e">
        <x:f>HYPERLINK("https://pokecottage.com/pokemon-master-sets/hoothoot","Hoothoot")</x:f>
        <x:v>HYPERLINK is not implemented. linkLocation=https://pokecottage.com/pokemon-master-sets/hoothoot, friendlyName=Hoothoot</x:v>
      </x:c>
      <x:c r="D236" s="7" t="str">
        <x:v>Gen 2 • Johto</x:v>
      </x:c>
      <x:c r="E236" s="7"/>
      <x:c r="F236" s="7"/>
    </x:row>
    <x:row r="237" ht="25" customHeight="1">
      <x:c r="A237" s="14" t="str">
        <x:v>☐</x:v>
      </x:c>
      <x:c r="B237" s="12" t="n">
        <x:v>164</x:v>
      </x:c>
      <x:c r="C237" s="16" t="e">
        <x:f>HYPERLINK("https://pokecottage.com/pokemon-master-sets/noctowl","Noctowl")</x:f>
        <x:v>HYPERLINK is not implemented. linkLocation=https://pokecottage.com/pokemon-master-sets/noctowl, friendlyName=Noctowl</x:v>
      </x:c>
      <x:c r="D237" s="8" t="str">
        <x:v>Gen 2 • Johto</x:v>
      </x:c>
      <x:c r="E237" s="8"/>
      <x:c r="F237" s="8"/>
    </x:row>
    <x:row r="238" ht="25" customHeight="1">
      <x:c r="A238" s="13" t="str">
        <x:v>☐</x:v>
      </x:c>
      <x:c r="B238" s="11" t="n">
        <x:v>165</x:v>
      </x:c>
      <x:c r="C238" s="15" t="e">
        <x:f>HYPERLINK("https://pokecottage.com/pokemon-master-sets/ledyba","Ledyba")</x:f>
        <x:v>HYPERLINK is not implemented. linkLocation=https://pokecottage.com/pokemon-master-sets/ledyba, friendlyName=Ledyba</x:v>
      </x:c>
      <x:c r="D238" s="7" t="str">
        <x:v>Gen 2 • Johto</x:v>
      </x:c>
      <x:c r="E238" s="7"/>
      <x:c r="F238" s="7"/>
    </x:row>
    <x:row r="239" ht="25" customHeight="1">
      <x:c r="A239" s="14" t="str">
        <x:v>☐</x:v>
      </x:c>
      <x:c r="B239" s="12" t="n">
        <x:v>166</x:v>
      </x:c>
      <x:c r="C239" s="16" t="e">
        <x:f>HYPERLINK("https://pokecottage.com/pokemon-master-sets/ledian","Ledian")</x:f>
        <x:v>HYPERLINK is not implemented. linkLocation=https://pokecottage.com/pokemon-master-sets/ledian, friendlyName=Ledian</x:v>
      </x:c>
      <x:c r="D239" s="8" t="str">
        <x:v>Gen 2 • Johto</x:v>
      </x:c>
      <x:c r="E239" s="8"/>
      <x:c r="F239" s="8"/>
    </x:row>
    <x:row r="240" ht="25" customHeight="1">
      <x:c r="A240" s="13" t="str">
        <x:v>☐</x:v>
      </x:c>
      <x:c r="B240" s="11" t="n">
        <x:v>167</x:v>
      </x:c>
      <x:c r="C240" s="15" t="e">
        <x:f>HYPERLINK("https://pokecottage.com/pokemon-master-sets/spinarak","Spinarak")</x:f>
        <x:v>HYPERLINK is not implemented. linkLocation=https://pokecottage.com/pokemon-master-sets/spinarak, friendlyName=Spinarak</x:v>
      </x:c>
      <x:c r="D240" s="7" t="str">
        <x:v>Gen 2 • Johto</x:v>
      </x:c>
      <x:c r="E240" s="7"/>
      <x:c r="F240" s="7"/>
    </x:row>
    <x:row r="241" ht="25" customHeight="1">
      <x:c r="A241" s="14" t="str">
        <x:v>☐</x:v>
      </x:c>
      <x:c r="B241" s="12" t="n">
        <x:v>168</x:v>
      </x:c>
      <x:c r="C241" s="16" t="e">
        <x:f>HYPERLINK("https://pokecottage.com/pokemon-master-sets/ariados","Ariados")</x:f>
        <x:v>HYPERLINK is not implemented. linkLocation=https://pokecottage.com/pokemon-master-sets/ariados, friendlyName=Ariados</x:v>
      </x:c>
      <x:c r="D241" s="8" t="str">
        <x:v>Gen 2 • Johto</x:v>
      </x:c>
      <x:c r="E241" s="8"/>
      <x:c r="F241" s="8"/>
    </x:row>
    <x:row r="242" ht="25" customHeight="1">
      <x:c r="A242" s="13" t="str">
        <x:v>☐</x:v>
      </x:c>
      <x:c r="B242" s="11" t="n">
        <x:v>169</x:v>
      </x:c>
      <x:c r="C242" s="15" t="e">
        <x:f>HYPERLINK("https://pokecottage.com/pokemon-master-sets/crobat","Crobat")</x:f>
        <x:v>HYPERLINK is not implemented. linkLocation=https://pokecottage.com/pokemon-master-sets/crobat, friendlyName=Crobat</x:v>
      </x:c>
      <x:c r="D242" s="7" t="str">
        <x:v>Gen 2 • Johto</x:v>
      </x:c>
      <x:c r="E242" s="7"/>
      <x:c r="F242" s="7"/>
    </x:row>
    <x:row r="243" ht="25" customHeight="1">
      <x:c r="A243" s="14" t="str">
        <x:v>☐</x:v>
      </x:c>
      <x:c r="B243" s="12" t="n">
        <x:v>170</x:v>
      </x:c>
      <x:c r="C243" s="16" t="e">
        <x:f>HYPERLINK("https://pokecottage.com/pokemon-master-sets/chinchou","Chinchou")</x:f>
        <x:v>HYPERLINK is not implemented. linkLocation=https://pokecottage.com/pokemon-master-sets/chinchou, friendlyName=Chinchou</x:v>
      </x:c>
      <x:c r="D243" s="8" t="str">
        <x:v>Gen 2 • Johto</x:v>
      </x:c>
      <x:c r="E243" s="8"/>
      <x:c r="F243" s="8"/>
    </x:row>
    <x:row r="244" ht="25" customHeight="1">
      <x:c r="A244" s="13" t="str">
        <x:v>☐</x:v>
      </x:c>
      <x:c r="B244" s="11" t="n">
        <x:v>171</x:v>
      </x:c>
      <x:c r="C244" s="15" t="e">
        <x:f>HYPERLINK("https://pokecottage.com/pokemon-master-sets/lanturn","Lanturn")</x:f>
        <x:v>HYPERLINK is not implemented. linkLocation=https://pokecottage.com/pokemon-master-sets/lanturn, friendlyName=Lanturn</x:v>
      </x:c>
      <x:c r="D244" s="7" t="str">
        <x:v>Gen 2 • Johto</x:v>
      </x:c>
      <x:c r="E244" s="7"/>
      <x:c r="F244" s="7"/>
    </x:row>
    <x:row r="245" ht="25" customHeight="1">
      <x:c r="A245" s="14" t="str">
        <x:v>☐</x:v>
      </x:c>
      <x:c r="B245" s="12" t="n">
        <x:v>172</x:v>
      </x:c>
      <x:c r="C245" s="16" t="e">
        <x:f>HYPERLINK("https://pokecottage.com/pokemon-master-sets/pichu","Pichu")</x:f>
        <x:v>HYPERLINK is not implemented. linkLocation=https://pokecottage.com/pokemon-master-sets/pichu, friendlyName=Pichu</x:v>
      </x:c>
      <x:c r="D245" s="8" t="str">
        <x:v>Gen 2 • Johto</x:v>
      </x:c>
      <x:c r="E245" s="8"/>
      <x:c r="F245" s="8"/>
    </x:row>
    <x:row r="246" ht="25" customHeight="1">
      <x:c r="A246" s="13" t="str">
        <x:v>☐</x:v>
      </x:c>
      <x:c r="B246" s="11" t="n">
        <x:v>173</x:v>
      </x:c>
      <x:c r="C246" s="15" t="e">
        <x:f>HYPERLINK("https://pokecottage.com/pokemon-master-sets/cleffa","Cleffa")</x:f>
        <x:v>HYPERLINK is not implemented. linkLocation=https://pokecottage.com/pokemon-master-sets/cleffa, friendlyName=Cleffa</x:v>
      </x:c>
      <x:c r="D246" s="7" t="str">
        <x:v>Gen 2 • Johto</x:v>
      </x:c>
      <x:c r="E246" s="7"/>
      <x:c r="F246" s="7"/>
    </x:row>
    <x:row r="247" ht="25" customHeight="1">
      <x:c r="A247" s="14" t="str">
        <x:v>☐</x:v>
      </x:c>
      <x:c r="B247" s="12" t="n">
        <x:v>174</x:v>
      </x:c>
      <x:c r="C247" s="16" t="e">
        <x:f>HYPERLINK("https://pokecottage.com/pokemon-master-sets/igglybuff","Igglybuff")</x:f>
        <x:v>HYPERLINK is not implemented. linkLocation=https://pokecottage.com/pokemon-master-sets/igglybuff, friendlyName=Igglybuff</x:v>
      </x:c>
      <x:c r="D247" s="8" t="str">
        <x:v>Gen 2 • Johto</x:v>
      </x:c>
      <x:c r="E247" s="8"/>
      <x:c r="F247" s="8"/>
    </x:row>
    <x:row r="248" ht="25" customHeight="1">
      <x:c r="A248" s="13" t="str">
        <x:v>☐</x:v>
      </x:c>
      <x:c r="B248" s="11" t="n">
        <x:v>175</x:v>
      </x:c>
      <x:c r="C248" s="15" t="e">
        <x:f>HYPERLINK("https://pokecottage.com/pokemon-master-sets/togepi","Togepi")</x:f>
        <x:v>HYPERLINK is not implemented. linkLocation=https://pokecottage.com/pokemon-master-sets/togepi, friendlyName=Togepi</x:v>
      </x:c>
      <x:c r="D248" s="7" t="str">
        <x:v>Gen 2 • Johto</x:v>
      </x:c>
      <x:c r="E248" s="7"/>
      <x:c r="F248" s="7"/>
    </x:row>
    <x:row r="249" ht="25" customHeight="1">
      <x:c r="A249" s="14" t="str">
        <x:v>☐</x:v>
      </x:c>
      <x:c r="B249" s="12" t="n">
        <x:v>176</x:v>
      </x:c>
      <x:c r="C249" s="16" t="e">
        <x:f>HYPERLINK("https://pokecottage.com/pokemon-master-sets/togetic","Togetic")</x:f>
        <x:v>HYPERLINK is not implemented. linkLocation=https://pokecottage.com/pokemon-master-sets/togetic, friendlyName=Togetic</x:v>
      </x:c>
      <x:c r="D249" s="8" t="str">
        <x:v>Gen 2 • Johto</x:v>
      </x:c>
      <x:c r="E249" s="8"/>
      <x:c r="F249" s="8"/>
    </x:row>
    <x:row r="250" ht="25" customHeight="1">
      <x:c r="A250" s="13" t="str">
        <x:v>☐</x:v>
      </x:c>
      <x:c r="B250" s="11" t="n">
        <x:v>177</x:v>
      </x:c>
      <x:c r="C250" s="15" t="e">
        <x:f>HYPERLINK("https://pokecottage.com/pokemon-master-sets/natu","Natu")</x:f>
        <x:v>HYPERLINK is not implemented. linkLocation=https://pokecottage.com/pokemon-master-sets/natu, friendlyName=Natu</x:v>
      </x:c>
      <x:c r="D250" s="7" t="str">
        <x:v>Gen 2 • Johto</x:v>
      </x:c>
      <x:c r="E250" s="7"/>
      <x:c r="F250" s="7"/>
    </x:row>
    <x:row r="251" ht="25" customHeight="1">
      <x:c r="A251" s="14" t="str">
        <x:v>☐</x:v>
      </x:c>
      <x:c r="B251" s="12" t="n">
        <x:v>178</x:v>
      </x:c>
      <x:c r="C251" s="16" t="e">
        <x:f>HYPERLINK("https://pokecottage.com/pokemon-master-sets/xatu","Xatu")</x:f>
        <x:v>HYPERLINK is not implemented. linkLocation=https://pokecottage.com/pokemon-master-sets/xatu, friendlyName=Xatu</x:v>
      </x:c>
      <x:c r="D251" s="8" t="str">
        <x:v>Gen 2 • Johto</x:v>
      </x:c>
      <x:c r="E251" s="8"/>
      <x:c r="F251" s="8"/>
    </x:row>
    <x:row r="252" ht="25" customHeight="1">
      <x:c r="A252" s="13" t="str">
        <x:v>☐</x:v>
      </x:c>
      <x:c r="B252" s="11" t="n">
        <x:v>179</x:v>
      </x:c>
      <x:c r="C252" s="15" t="e">
        <x:f>HYPERLINK("https://pokecottage.com/pokemon-master-sets/mareep","Mareep")</x:f>
        <x:v>HYPERLINK is not implemented. linkLocation=https://pokecottage.com/pokemon-master-sets/mareep, friendlyName=Mareep</x:v>
      </x:c>
      <x:c r="D252" s="7" t="str">
        <x:v>Gen 2 • Johto</x:v>
      </x:c>
      <x:c r="E252" s="7"/>
      <x:c r="F252" s="7"/>
    </x:row>
    <x:row r="253" ht="25" customHeight="1">
      <x:c r="A253" s="14" t="str">
        <x:v>☐</x:v>
      </x:c>
      <x:c r="B253" s="12" t="n">
        <x:v>180</x:v>
      </x:c>
      <x:c r="C253" s="16" t="e">
        <x:f>HYPERLINK("https://pokecottage.com/pokemon-master-sets/flaaffy","Flaaffy")</x:f>
        <x:v>HYPERLINK is not implemented. linkLocation=https://pokecottage.com/pokemon-master-sets/flaaffy, friendlyName=Flaaffy</x:v>
      </x:c>
      <x:c r="D253" s="8" t="str">
        <x:v>Gen 2 • Johto</x:v>
      </x:c>
      <x:c r="E253" s="8"/>
      <x:c r="F253" s="8"/>
    </x:row>
    <x:row r="254" ht="25" customHeight="1">
      <x:c r="A254" s="13" t="str">
        <x:v>☐</x:v>
      </x:c>
      <x:c r="B254" s="11" t="n">
        <x:v>181</x:v>
      </x:c>
      <x:c r="C254" s="15" t="e">
        <x:f>HYPERLINK("https://pokecottage.com/pokemon-master-sets/ampharos","Ampharos")</x:f>
        <x:v>HYPERLINK is not implemented. linkLocation=https://pokecottage.com/pokemon-master-sets/ampharos, friendlyName=Ampharos</x:v>
      </x:c>
      <x:c r="D254" s="7" t="str">
        <x:v>Gen 2 • Johto</x:v>
      </x:c>
      <x:c r="E254" s="7"/>
      <x:c r="F254" s="7"/>
    </x:row>
    <x:row r="255" ht="25" customHeight="1">
      <x:c r="A255" s="14" t="str">
        <x:v>☐</x:v>
      </x:c>
      <x:c r="B255" s="12" t="n">
        <x:v>181</x:v>
      </x:c>
      <x:c r="C255" s="16" t="e">
        <x:f>HYPERLINK("https://pokecottage.com/pokemon-master-sets/ampharos","Mega Ampharos")</x:f>
        <x:v>HYPERLINK is not implemented. linkLocation=https://pokecottage.com/pokemon-master-sets/ampharos, friendlyName=Mega Ampharos</x:v>
      </x:c>
      <x:c r="D255" s="8" t="str">
        <x:v>Mega Evolution</x:v>
      </x:c>
      <x:c r="E255" s="8"/>
      <x:c r="F255" s="8"/>
    </x:row>
    <x:row r="256" ht="25" customHeight="1">
      <x:c r="A256" s="13" t="str">
        <x:v>☐</x:v>
      </x:c>
      <x:c r="B256" s="11" t="n">
        <x:v>182</x:v>
      </x:c>
      <x:c r="C256" s="15" t="e">
        <x:f>HYPERLINK("https://pokecottage.com/pokemon-master-sets/bellossom","Bellossom")</x:f>
        <x:v>HYPERLINK is not implemented. linkLocation=https://pokecottage.com/pokemon-master-sets/bellossom, friendlyName=Bellossom</x:v>
      </x:c>
      <x:c r="D256" s="7" t="str">
        <x:v>Gen 2 • Johto</x:v>
      </x:c>
      <x:c r="E256" s="7"/>
      <x:c r="F256" s="7"/>
    </x:row>
    <x:row r="257" ht="25" customHeight="1">
      <x:c r="A257" s="14" t="str">
        <x:v>☐</x:v>
      </x:c>
      <x:c r="B257" s="12" t="n">
        <x:v>183</x:v>
      </x:c>
      <x:c r="C257" s="16" t="e">
        <x:f>HYPERLINK("https://pokecottage.com/pokemon-master-sets/marill","Marill")</x:f>
        <x:v>HYPERLINK is not implemented. linkLocation=https://pokecottage.com/pokemon-master-sets/marill, friendlyName=Marill</x:v>
      </x:c>
      <x:c r="D257" s="8" t="str">
        <x:v>Gen 2 • Johto</x:v>
      </x:c>
      <x:c r="E257" s="8"/>
      <x:c r="F257" s="8"/>
    </x:row>
    <x:row r="258" ht="25" customHeight="1">
      <x:c r="A258" s="13" t="str">
        <x:v>☐</x:v>
      </x:c>
      <x:c r="B258" s="11" t="n">
        <x:v>184</x:v>
      </x:c>
      <x:c r="C258" s="15" t="e">
        <x:f>HYPERLINK("https://pokecottage.com/pokemon-master-sets/azumarill","Azumarill")</x:f>
        <x:v>HYPERLINK is not implemented. linkLocation=https://pokecottage.com/pokemon-master-sets/azumarill, friendlyName=Azumarill</x:v>
      </x:c>
      <x:c r="D258" s="7" t="str">
        <x:v>Gen 2 • Johto</x:v>
      </x:c>
      <x:c r="E258" s="7"/>
      <x:c r="F258" s="7"/>
    </x:row>
    <x:row r="259" ht="25" customHeight="1">
      <x:c r="A259" s="14" t="str">
        <x:v>☐</x:v>
      </x:c>
      <x:c r="B259" s="12" t="n">
        <x:v>185</x:v>
      </x:c>
      <x:c r="C259" s="16" t="e">
        <x:f>HYPERLINK("https://pokecottage.com/pokemon-master-sets/sudowoodo","Sudowoodo")</x:f>
        <x:v>HYPERLINK is not implemented. linkLocation=https://pokecottage.com/pokemon-master-sets/sudowoodo, friendlyName=Sudowoodo</x:v>
      </x:c>
      <x:c r="D259" s="8" t="str">
        <x:v>Gen 2 • Johto</x:v>
      </x:c>
      <x:c r="E259" s="8"/>
      <x:c r="F259" s="8"/>
    </x:row>
    <x:row r="260" ht="25" customHeight="1">
      <x:c r="A260" s="13" t="str">
        <x:v>☐</x:v>
      </x:c>
      <x:c r="B260" s="11" t="n">
        <x:v>186</x:v>
      </x:c>
      <x:c r="C260" s="15" t="e">
        <x:f>HYPERLINK("https://pokecottage.com/pokemon-master-sets/politoed","Politoed")</x:f>
        <x:v>HYPERLINK is not implemented. linkLocation=https://pokecottage.com/pokemon-master-sets/politoed, friendlyName=Politoed</x:v>
      </x:c>
      <x:c r="D260" s="7" t="str">
        <x:v>Gen 2 • Johto</x:v>
      </x:c>
      <x:c r="E260" s="7"/>
      <x:c r="F260" s="7"/>
    </x:row>
    <x:row r="261" ht="25" customHeight="1">
      <x:c r="A261" s="14" t="str">
        <x:v>☐</x:v>
      </x:c>
      <x:c r="B261" s="12" t="n">
        <x:v>187</x:v>
      </x:c>
      <x:c r="C261" s="16" t="e">
        <x:f>HYPERLINK("https://pokecottage.com/pokemon-master-sets/hoppip","Hoppip")</x:f>
        <x:v>HYPERLINK is not implemented. linkLocation=https://pokecottage.com/pokemon-master-sets/hoppip, friendlyName=Hoppip</x:v>
      </x:c>
      <x:c r="D261" s="8" t="str">
        <x:v>Gen 2 • Johto</x:v>
      </x:c>
      <x:c r="E261" s="8"/>
      <x:c r="F261" s="8"/>
    </x:row>
    <x:row r="262" ht="25" customHeight="1">
      <x:c r="A262" s="13" t="str">
        <x:v>☐</x:v>
      </x:c>
      <x:c r="B262" s="11" t="n">
        <x:v>188</x:v>
      </x:c>
      <x:c r="C262" s="15" t="e">
        <x:f>HYPERLINK("https://pokecottage.com/pokemon-master-sets/skiploom","Skiploom")</x:f>
        <x:v>HYPERLINK is not implemented. linkLocation=https://pokecottage.com/pokemon-master-sets/skiploom, friendlyName=Skiploom</x:v>
      </x:c>
      <x:c r="D262" s="7" t="str">
        <x:v>Gen 2 • Johto</x:v>
      </x:c>
      <x:c r="E262" s="7"/>
      <x:c r="F262" s="7"/>
    </x:row>
    <x:row r="263" ht="25" customHeight="1">
      <x:c r="A263" s="14" t="str">
        <x:v>☐</x:v>
      </x:c>
      <x:c r="B263" s="12" t="n">
        <x:v>189</x:v>
      </x:c>
      <x:c r="C263" s="16" t="e">
        <x:f>HYPERLINK("https://pokecottage.com/pokemon-master-sets/jumpluff","Jumpluff")</x:f>
        <x:v>HYPERLINK is not implemented. linkLocation=https://pokecottage.com/pokemon-master-sets/jumpluff, friendlyName=Jumpluff</x:v>
      </x:c>
      <x:c r="D263" s="8" t="str">
        <x:v>Gen 2 • Johto</x:v>
      </x:c>
      <x:c r="E263" s="8"/>
      <x:c r="F263" s="8"/>
    </x:row>
    <x:row r="264" ht="25" customHeight="1">
      <x:c r="A264" s="13" t="str">
        <x:v>☐</x:v>
      </x:c>
      <x:c r="B264" s="11" t="n">
        <x:v>190</x:v>
      </x:c>
      <x:c r="C264" s="15" t="e">
        <x:f>HYPERLINK("https://pokecottage.com/pokemon-master-sets/aipom","Aipom")</x:f>
        <x:v>HYPERLINK is not implemented. linkLocation=https://pokecottage.com/pokemon-master-sets/aipom, friendlyName=Aipom</x:v>
      </x:c>
      <x:c r="D264" s="7" t="str">
        <x:v>Gen 2 • Johto</x:v>
      </x:c>
      <x:c r="E264" s="7"/>
      <x:c r="F264" s="7"/>
    </x:row>
    <x:row r="265" ht="25" customHeight="1">
      <x:c r="A265" s="14" t="str">
        <x:v>☐</x:v>
      </x:c>
      <x:c r="B265" s="12" t="n">
        <x:v>191</x:v>
      </x:c>
      <x:c r="C265" s="16" t="e">
        <x:f>HYPERLINK("https://pokecottage.com/pokemon-master-sets/sunkern","Sunkern")</x:f>
        <x:v>HYPERLINK is not implemented. linkLocation=https://pokecottage.com/pokemon-master-sets/sunkern, friendlyName=Sunkern</x:v>
      </x:c>
      <x:c r="D265" s="8" t="str">
        <x:v>Gen 2 • Johto</x:v>
      </x:c>
      <x:c r="E265" s="8"/>
      <x:c r="F265" s="8"/>
    </x:row>
    <x:row r="266" ht="25" customHeight="1">
      <x:c r="A266" s="13" t="str">
        <x:v>☐</x:v>
      </x:c>
      <x:c r="B266" s="11" t="n">
        <x:v>192</x:v>
      </x:c>
      <x:c r="C266" s="15" t="e">
        <x:f>HYPERLINK("https://pokecottage.com/pokemon-master-sets/sunflora","Sunflora")</x:f>
        <x:v>HYPERLINK is not implemented. linkLocation=https://pokecottage.com/pokemon-master-sets/sunflora, friendlyName=Sunflora</x:v>
      </x:c>
      <x:c r="D266" s="7" t="str">
        <x:v>Gen 2 • Johto</x:v>
      </x:c>
      <x:c r="E266" s="7"/>
      <x:c r="F266" s="7"/>
    </x:row>
    <x:row r="267" ht="25" customHeight="1">
      <x:c r="A267" s="14" t="str">
        <x:v>☐</x:v>
      </x:c>
      <x:c r="B267" s="12" t="n">
        <x:v>193</x:v>
      </x:c>
      <x:c r="C267" s="16" t="e">
        <x:f>HYPERLINK("https://pokecottage.com/pokemon-master-sets/yanma","Yanma")</x:f>
        <x:v>HYPERLINK is not implemented. linkLocation=https://pokecottage.com/pokemon-master-sets/yanma, friendlyName=Yanma</x:v>
      </x:c>
      <x:c r="D267" s="8" t="str">
        <x:v>Gen 2 • Johto</x:v>
      </x:c>
      <x:c r="E267" s="8"/>
      <x:c r="F267" s="8"/>
    </x:row>
    <x:row r="268" ht="25" customHeight="1">
      <x:c r="A268" s="13" t="str">
        <x:v>☐</x:v>
      </x:c>
      <x:c r="B268" s="11" t="n">
        <x:v>194</x:v>
      </x:c>
      <x:c r="C268" s="15" t="e">
        <x:f>HYPERLINK("https://pokecottage.com/pokemon-master-sets/wooper","Wooper")</x:f>
        <x:v>HYPERLINK is not implemented. linkLocation=https://pokecottage.com/pokemon-master-sets/wooper, friendlyName=Wooper</x:v>
      </x:c>
      <x:c r="D268" s="7" t="str">
        <x:v>Gen 2 • Johto</x:v>
      </x:c>
      <x:c r="E268" s="7"/>
      <x:c r="F268" s="7"/>
    </x:row>
    <x:row r="269" ht="25" customHeight="1">
      <x:c r="A269" s="14" t="str">
        <x:v>☐</x:v>
      </x:c>
      <x:c r="B269" s="12" t="n">
        <x:v>194</x:v>
      </x:c>
      <x:c r="C269" s="16" t="e">
        <x:f>HYPERLINK("https://pokecottage.com/pokemon-master-sets/wooper","Paldean Wooper")</x:f>
        <x:v>HYPERLINK is not implemented. linkLocation=https://pokecottage.com/pokemon-master-sets/wooper, friendlyName=Paldean Wooper</x:v>
      </x:c>
      <x:c r="D269" s="8" t="str">
        <x:v>Regional</x:v>
      </x:c>
      <x:c r="E269" s="8"/>
      <x:c r="F269" s="8"/>
    </x:row>
    <x:row r="270" ht="25" customHeight="1">
      <x:c r="A270" s="13" t="str">
        <x:v>☐</x:v>
      </x:c>
      <x:c r="B270" s="11" t="n">
        <x:v>195</x:v>
      </x:c>
      <x:c r="C270" s="15" t="e">
        <x:f>HYPERLINK("https://pokecottage.com/pokemon-master-sets/quagsire","Quagsire")</x:f>
        <x:v>HYPERLINK is not implemented. linkLocation=https://pokecottage.com/pokemon-master-sets/quagsire, friendlyName=Quagsire</x:v>
      </x:c>
      <x:c r="D270" s="7" t="str">
        <x:v>Gen 2 • Johto</x:v>
      </x:c>
      <x:c r="E270" s="7"/>
      <x:c r="F270" s="7"/>
    </x:row>
    <x:row r="271" ht="25" customHeight="1">
      <x:c r="A271" s="14" t="str">
        <x:v>☐</x:v>
      </x:c>
      <x:c r="B271" s="12" t="n">
        <x:v>196</x:v>
      </x:c>
      <x:c r="C271" s="16" t="e">
        <x:f>HYPERLINK("https://pokecottage.com/pokemon-master-sets/espeon","Espeon")</x:f>
        <x:v>HYPERLINK is not implemented. linkLocation=https://pokecottage.com/pokemon-master-sets/espeon, friendlyName=Espeon</x:v>
      </x:c>
      <x:c r="D271" s="8" t="str">
        <x:v>Gen 2 • Johto</x:v>
      </x:c>
      <x:c r="E271" s="8"/>
      <x:c r="F271" s="8"/>
    </x:row>
    <x:row r="272" ht="25" customHeight="1">
      <x:c r="A272" s="13" t="str">
        <x:v>☐</x:v>
      </x:c>
      <x:c r="B272" s="11" t="n">
        <x:v>197</x:v>
      </x:c>
      <x:c r="C272" s="15" t="e">
        <x:f>HYPERLINK("https://pokecottage.com/pokemon-master-sets/umbreon","Umbreon")</x:f>
        <x:v>HYPERLINK is not implemented. linkLocation=https://pokecottage.com/pokemon-master-sets/umbreon, friendlyName=Umbreon</x:v>
      </x:c>
      <x:c r="D272" s="7" t="str">
        <x:v>Gen 2 • Johto</x:v>
      </x:c>
      <x:c r="E272" s="7"/>
      <x:c r="F272" s="7"/>
    </x:row>
    <x:row r="273" ht="25" customHeight="1">
      <x:c r="A273" s="14" t="str">
        <x:v>☐</x:v>
      </x:c>
      <x:c r="B273" s="12" t="n">
        <x:v>198</x:v>
      </x:c>
      <x:c r="C273" s="16" t="e">
        <x:f>HYPERLINK("https://pokecottage.com/pokemon-master-sets/murkrow","Murkrow")</x:f>
        <x:v>HYPERLINK is not implemented. linkLocation=https://pokecottage.com/pokemon-master-sets/murkrow, friendlyName=Murkrow</x:v>
      </x:c>
      <x:c r="D273" s="8" t="str">
        <x:v>Gen 2 • Johto</x:v>
      </x:c>
      <x:c r="E273" s="8"/>
      <x:c r="F273" s="8"/>
    </x:row>
    <x:row r="274" ht="25" customHeight="1">
      <x:c r="A274" s="13" t="str">
        <x:v>☐</x:v>
      </x:c>
      <x:c r="B274" s="11" t="n">
        <x:v>199</x:v>
      </x:c>
      <x:c r="C274" s="15" t="e">
        <x:f>HYPERLINK("https://pokecottage.com/pokemon-master-sets/slowking","Slowking")</x:f>
        <x:v>HYPERLINK is not implemented. linkLocation=https://pokecottage.com/pokemon-master-sets/slowking, friendlyName=Slowking</x:v>
      </x:c>
      <x:c r="D274" s="7" t="str">
        <x:v>Gen 2 • Johto</x:v>
      </x:c>
      <x:c r="E274" s="7"/>
      <x:c r="F274" s="7"/>
    </x:row>
    <x:row r="275" ht="25" customHeight="1">
      <x:c r="A275" s="14" t="str">
        <x:v>☐</x:v>
      </x:c>
      <x:c r="B275" s="12" t="n">
        <x:v>199</x:v>
      </x:c>
      <x:c r="C275" s="16" t="e">
        <x:f>HYPERLINK("https://pokecottage.com/pokemon-master-sets/slowking","Galarian Slowking")</x:f>
        <x:v>HYPERLINK is not implemented. linkLocation=https://pokecottage.com/pokemon-master-sets/slowking, friendlyName=Galarian Slowking</x:v>
      </x:c>
      <x:c r="D275" s="8" t="str">
        <x:v>Regional</x:v>
      </x:c>
      <x:c r="E275" s="8"/>
      <x:c r="F275" s="8"/>
    </x:row>
    <x:row r="276" ht="25" customHeight="1">
      <x:c r="A276" s="13" t="str">
        <x:v>☐</x:v>
      </x:c>
      <x:c r="B276" s="11" t="n">
        <x:v>200</x:v>
      </x:c>
      <x:c r="C276" s="15" t="e">
        <x:f>HYPERLINK("https://pokecottage.com/pokemon-master-sets/misdreavus","Misdreavus")</x:f>
        <x:v>HYPERLINK is not implemented. linkLocation=https://pokecottage.com/pokemon-master-sets/misdreavus, friendlyName=Misdreavus</x:v>
      </x:c>
      <x:c r="D276" s="7" t="str">
        <x:v>Gen 2 • Johto</x:v>
      </x:c>
      <x:c r="E276" s="7"/>
      <x:c r="F276" s="7"/>
    </x:row>
    <x:row r="277" ht="25" customHeight="1">
      <x:c r="A277" s="14" t="str">
        <x:v>☐</x:v>
      </x:c>
      <x:c r="B277" s="12" t="n">
        <x:v>201</x:v>
      </x:c>
      <x:c r="C277" s="16" t="e">
        <x:f>HYPERLINK("https://pokecottage.com/pokemon-master-sets/unown","Unown")</x:f>
        <x:v>HYPERLINK is not implemented. linkLocation=https://pokecottage.com/pokemon-master-sets/unown, friendlyName=Unown</x:v>
      </x:c>
      <x:c r="D277" s="8" t="str">
        <x:v>Gen 2 • Johto</x:v>
      </x:c>
      <x:c r="E277" s="8"/>
      <x:c r="F277" s="8"/>
    </x:row>
    <x:row r="278" ht="25" customHeight="1">
      <x:c r="A278" s="13" t="str">
        <x:v>☐</x:v>
      </x:c>
      <x:c r="B278" s="11" t="n">
        <x:v>202</x:v>
      </x:c>
      <x:c r="C278" s="15" t="e">
        <x:f>HYPERLINK("https://pokecottage.com/pokemon-master-sets/wobbuffet","Wobbuffet")</x:f>
        <x:v>HYPERLINK is not implemented. linkLocation=https://pokecottage.com/pokemon-master-sets/wobbuffet, friendlyName=Wobbuffet</x:v>
      </x:c>
      <x:c r="D278" s="7" t="str">
        <x:v>Gen 2 • Johto</x:v>
      </x:c>
      <x:c r="E278" s="7"/>
      <x:c r="F278" s="7"/>
    </x:row>
    <x:row r="279" ht="25" customHeight="1">
      <x:c r="A279" s="14" t="str">
        <x:v>☐</x:v>
      </x:c>
      <x:c r="B279" s="12" t="n">
        <x:v>203</x:v>
      </x:c>
      <x:c r="C279" s="16" t="e">
        <x:f>HYPERLINK("https://pokecottage.com/pokemon-master-sets/girafarig","Girafarig")</x:f>
        <x:v>HYPERLINK is not implemented. linkLocation=https://pokecottage.com/pokemon-master-sets/girafarig, friendlyName=Girafarig</x:v>
      </x:c>
      <x:c r="D279" s="8" t="str">
        <x:v>Gen 2 • Johto</x:v>
      </x:c>
      <x:c r="E279" s="8"/>
      <x:c r="F279" s="8"/>
    </x:row>
    <x:row r="280" ht="25" customHeight="1">
      <x:c r="A280" s="13" t="str">
        <x:v>☐</x:v>
      </x:c>
      <x:c r="B280" s="11" t="n">
        <x:v>204</x:v>
      </x:c>
      <x:c r="C280" s="15" t="e">
        <x:f>HYPERLINK("https://pokecottage.com/pokemon-master-sets/pineco","Pineco")</x:f>
        <x:v>HYPERLINK is not implemented. linkLocation=https://pokecottage.com/pokemon-master-sets/pineco, friendlyName=Pineco</x:v>
      </x:c>
      <x:c r="D280" s="7" t="str">
        <x:v>Gen 2 • Johto</x:v>
      </x:c>
      <x:c r="E280" s="7"/>
      <x:c r="F280" s="7"/>
    </x:row>
    <x:row r="281" ht="25" customHeight="1">
      <x:c r="A281" s="14" t="str">
        <x:v>☐</x:v>
      </x:c>
      <x:c r="B281" s="12" t="n">
        <x:v>205</x:v>
      </x:c>
      <x:c r="C281" s="16" t="e">
        <x:f>HYPERLINK("https://pokecottage.com/pokemon-master-sets/forretress","Forretress")</x:f>
        <x:v>HYPERLINK is not implemented. linkLocation=https://pokecottage.com/pokemon-master-sets/forretress, friendlyName=Forretress</x:v>
      </x:c>
      <x:c r="D281" s="8" t="str">
        <x:v>Gen 2 • Johto</x:v>
      </x:c>
      <x:c r="E281" s="8"/>
      <x:c r="F281" s="8"/>
    </x:row>
    <x:row r="282" ht="25" customHeight="1">
      <x:c r="A282" s="13" t="str">
        <x:v>☐</x:v>
      </x:c>
      <x:c r="B282" s="11" t="n">
        <x:v>206</x:v>
      </x:c>
      <x:c r="C282" s="15" t="e">
        <x:f>HYPERLINK("https://pokecottage.com/pokemon-master-sets/dunsparce","Dunsparce")</x:f>
        <x:v>HYPERLINK is not implemented. linkLocation=https://pokecottage.com/pokemon-master-sets/dunsparce, friendlyName=Dunsparce</x:v>
      </x:c>
      <x:c r="D282" s="7" t="str">
        <x:v>Gen 2 • Johto</x:v>
      </x:c>
      <x:c r="E282" s="7"/>
      <x:c r="F282" s="7"/>
    </x:row>
    <x:row r="283" ht="25" customHeight="1">
      <x:c r="A283" s="14" t="str">
        <x:v>☐</x:v>
      </x:c>
      <x:c r="B283" s="12" t="n">
        <x:v>207</x:v>
      </x:c>
      <x:c r="C283" s="16" t="e">
        <x:f>HYPERLINK("https://pokecottage.com/pokemon-master-sets/gligar","Gligar")</x:f>
        <x:v>HYPERLINK is not implemented. linkLocation=https://pokecottage.com/pokemon-master-sets/gligar, friendlyName=Gligar</x:v>
      </x:c>
      <x:c r="D283" s="8" t="str">
        <x:v>Gen 2 • Johto</x:v>
      </x:c>
      <x:c r="E283" s="8"/>
      <x:c r="F283" s="8"/>
    </x:row>
    <x:row r="284" ht="25" customHeight="1">
      <x:c r="A284" s="13" t="str">
        <x:v>☐</x:v>
      </x:c>
      <x:c r="B284" s="11" t="n">
        <x:v>208</x:v>
      </x:c>
      <x:c r="C284" s="15" t="e">
        <x:f>HYPERLINK("https://pokecottage.com/pokemon-master-sets/steelix","Steelix")</x:f>
        <x:v>HYPERLINK is not implemented. linkLocation=https://pokecottage.com/pokemon-master-sets/steelix, friendlyName=Steelix</x:v>
      </x:c>
      <x:c r="D284" s="7" t="str">
        <x:v>Gen 2 • Johto</x:v>
      </x:c>
      <x:c r="E284" s="7"/>
      <x:c r="F284" s="7"/>
    </x:row>
    <x:row r="285" ht="25" customHeight="1">
      <x:c r="A285" s="14" t="str">
        <x:v>☐</x:v>
      </x:c>
      <x:c r="B285" s="12" t="n">
        <x:v>208</x:v>
      </x:c>
      <x:c r="C285" s="16" t="e">
        <x:f>HYPERLINK("https://pokecottage.com/pokemon-master-sets/steelix","Mega Steelix")</x:f>
        <x:v>HYPERLINK is not implemented. linkLocation=https://pokecottage.com/pokemon-master-sets/steelix, friendlyName=Mega Steelix</x:v>
      </x:c>
      <x:c r="D285" s="8" t="str">
        <x:v>Mega Evolution</x:v>
      </x:c>
      <x:c r="E285" s="8"/>
      <x:c r="F285" s="8"/>
    </x:row>
    <x:row r="286" ht="25" customHeight="1">
      <x:c r="A286" s="13" t="str">
        <x:v>☐</x:v>
      </x:c>
      <x:c r="B286" s="11" t="n">
        <x:v>209</x:v>
      </x:c>
      <x:c r="C286" s="15" t="e">
        <x:f>HYPERLINK("https://pokecottage.com/pokemon-master-sets/snubbull","Snubbull")</x:f>
        <x:v>HYPERLINK is not implemented. linkLocation=https://pokecottage.com/pokemon-master-sets/snubbull, friendlyName=Snubbull</x:v>
      </x:c>
      <x:c r="D286" s="7" t="str">
        <x:v>Gen 2 • Johto</x:v>
      </x:c>
      <x:c r="E286" s="7"/>
      <x:c r="F286" s="7"/>
    </x:row>
    <x:row r="287" ht="25" customHeight="1">
      <x:c r="A287" s="14" t="str">
        <x:v>☐</x:v>
      </x:c>
      <x:c r="B287" s="12" t="n">
        <x:v>210</x:v>
      </x:c>
      <x:c r="C287" s="16" t="e">
        <x:f>HYPERLINK("https://pokecottage.com/pokemon-master-sets/granbull","Granbull")</x:f>
        <x:v>HYPERLINK is not implemented. linkLocation=https://pokecottage.com/pokemon-master-sets/granbull, friendlyName=Granbull</x:v>
      </x:c>
      <x:c r="D287" s="8" t="str">
        <x:v>Gen 2 • Johto</x:v>
      </x:c>
      <x:c r="E287" s="8"/>
      <x:c r="F287" s="8"/>
    </x:row>
    <x:row r="288" ht="25" customHeight="1">
      <x:c r="A288" s="13" t="str">
        <x:v>☐</x:v>
      </x:c>
      <x:c r="B288" s="11" t="n">
        <x:v>211</x:v>
      </x:c>
      <x:c r="C288" s="15" t="e">
        <x:f>HYPERLINK("https://pokecottage.com/pokemon-master-sets/qwilfish","Qwilfish")</x:f>
        <x:v>HYPERLINK is not implemented. linkLocation=https://pokecottage.com/pokemon-master-sets/qwilfish, friendlyName=Qwilfish</x:v>
      </x:c>
      <x:c r="D288" s="7" t="str">
        <x:v>Gen 2 • Johto</x:v>
      </x:c>
      <x:c r="E288" s="7"/>
      <x:c r="F288" s="7"/>
    </x:row>
    <x:row r="289" ht="25" customHeight="1">
      <x:c r="A289" s="14" t="str">
        <x:v>☐</x:v>
      </x:c>
      <x:c r="B289" s="12" t="n">
        <x:v>211</x:v>
      </x:c>
      <x:c r="C289" s="16" t="e">
        <x:f>HYPERLINK("https://pokecottage.com/pokemon-master-sets/qwilfish","Hisuian Qwilfish")</x:f>
        <x:v>HYPERLINK is not implemented. linkLocation=https://pokecottage.com/pokemon-master-sets/qwilfish, friendlyName=Hisuian Qwilfish</x:v>
      </x:c>
      <x:c r="D289" s="8" t="str">
        <x:v>Regional</x:v>
      </x:c>
      <x:c r="E289" s="8"/>
      <x:c r="F289" s="8"/>
    </x:row>
    <x:row r="290" ht="25" customHeight="1">
      <x:c r="A290" s="13" t="str">
        <x:v>☐</x:v>
      </x:c>
      <x:c r="B290" s="11" t="n">
        <x:v>212</x:v>
      </x:c>
      <x:c r="C290" s="15" t="e">
        <x:f>HYPERLINK("https://pokecottage.com/pokemon-master-sets/scizor","Scizor")</x:f>
        <x:v>HYPERLINK is not implemented. linkLocation=https://pokecottage.com/pokemon-master-sets/scizor, friendlyName=Scizor</x:v>
      </x:c>
      <x:c r="D290" s="7" t="str">
        <x:v>Gen 2 • Johto</x:v>
      </x:c>
      <x:c r="E290" s="7"/>
      <x:c r="F290" s="7"/>
    </x:row>
    <x:row r="291" ht="25" customHeight="1">
      <x:c r="A291" s="14" t="str">
        <x:v>☐</x:v>
      </x:c>
      <x:c r="B291" s="12" t="n">
        <x:v>212</x:v>
      </x:c>
      <x:c r="C291" s="16" t="e">
        <x:f>HYPERLINK("https://pokecottage.com/pokemon-master-sets/scizor","Mega Scizor")</x:f>
        <x:v>HYPERLINK is not implemented. linkLocation=https://pokecottage.com/pokemon-master-sets/scizor, friendlyName=Mega Scizor</x:v>
      </x:c>
      <x:c r="D291" s="8" t="str">
        <x:v>Mega Evolution</x:v>
      </x:c>
      <x:c r="E291" s="8"/>
      <x:c r="F291" s="8"/>
    </x:row>
    <x:row r="292" ht="25" customHeight="1">
      <x:c r="A292" s="13" t="str">
        <x:v>☐</x:v>
      </x:c>
      <x:c r="B292" s="11" t="n">
        <x:v>213</x:v>
      </x:c>
      <x:c r="C292" s="15" t="e">
        <x:f>HYPERLINK("https://pokecottage.com/pokemon-master-sets/shuckle","Shuckle")</x:f>
        <x:v>HYPERLINK is not implemented. linkLocation=https://pokecottage.com/pokemon-master-sets/shuckle, friendlyName=Shuckle</x:v>
      </x:c>
      <x:c r="D292" s="7" t="str">
        <x:v>Gen 2 • Johto</x:v>
      </x:c>
      <x:c r="E292" s="7"/>
      <x:c r="F292" s="7"/>
    </x:row>
    <x:row r="293" ht="25" customHeight="1">
      <x:c r="A293" s="14" t="str">
        <x:v>☐</x:v>
      </x:c>
      <x:c r="B293" s="12" t="n">
        <x:v>214</x:v>
      </x:c>
      <x:c r="C293" s="16" t="e">
        <x:f>HYPERLINK("https://pokecottage.com/pokemon-master-sets/heracross","Heracross")</x:f>
        <x:v>HYPERLINK is not implemented. linkLocation=https://pokecottage.com/pokemon-master-sets/heracross, friendlyName=Heracross</x:v>
      </x:c>
      <x:c r="D293" s="8" t="str">
        <x:v>Gen 2 • Johto</x:v>
      </x:c>
      <x:c r="E293" s="8"/>
      <x:c r="F293" s="8"/>
    </x:row>
    <x:row r="294" ht="25" customHeight="1">
      <x:c r="A294" s="13" t="str">
        <x:v>☐</x:v>
      </x:c>
      <x:c r="B294" s="11" t="n">
        <x:v>214</x:v>
      </x:c>
      <x:c r="C294" s="15" t="e">
        <x:f>HYPERLINK("https://pokecottage.com/pokemon-master-sets/heracross","Mega Heracross")</x:f>
        <x:v>HYPERLINK is not implemented. linkLocation=https://pokecottage.com/pokemon-master-sets/heracross, friendlyName=Mega Heracross</x:v>
      </x:c>
      <x:c r="D294" s="7" t="str">
        <x:v>Mega Evolution</x:v>
      </x:c>
      <x:c r="E294" s="7"/>
      <x:c r="F294" s="7"/>
    </x:row>
    <x:row r="295" ht="25" customHeight="1">
      <x:c r="A295" s="14" t="str">
        <x:v>☐</x:v>
      </x:c>
      <x:c r="B295" s="12" t="n">
        <x:v>215</x:v>
      </x:c>
      <x:c r="C295" s="16" t="e">
        <x:f>HYPERLINK("https://pokecottage.com/pokemon-master-sets/sneasel","Sneasel")</x:f>
        <x:v>HYPERLINK is not implemented. linkLocation=https://pokecottage.com/pokemon-master-sets/sneasel, friendlyName=Sneasel</x:v>
      </x:c>
      <x:c r="D295" s="8" t="str">
        <x:v>Gen 2 • Johto</x:v>
      </x:c>
      <x:c r="E295" s="8"/>
      <x:c r="F295" s="8"/>
    </x:row>
    <x:row r="296" ht="25" customHeight="1">
      <x:c r="A296" s="13" t="str">
        <x:v>☐</x:v>
      </x:c>
      <x:c r="B296" s="11" t="n">
        <x:v>215</x:v>
      </x:c>
      <x:c r="C296" s="15" t="e">
        <x:f>HYPERLINK("https://pokecottage.com/pokemon-master-sets/sneasel","Hisuian Sneasel")</x:f>
        <x:v>HYPERLINK is not implemented. linkLocation=https://pokecottage.com/pokemon-master-sets/sneasel, friendlyName=Hisuian Sneasel</x:v>
      </x:c>
      <x:c r="D296" s="7" t="str">
        <x:v>Regional</x:v>
      </x:c>
      <x:c r="E296" s="7"/>
      <x:c r="F296" s="7"/>
    </x:row>
    <x:row r="297" ht="25" customHeight="1">
      <x:c r="A297" s="14" t="str">
        <x:v>☐</x:v>
      </x:c>
      <x:c r="B297" s="12" t="n">
        <x:v>216</x:v>
      </x:c>
      <x:c r="C297" s="16" t="e">
        <x:f>HYPERLINK("https://pokecottage.com/pokemon-master-sets/teddiursa","Teddiursa")</x:f>
        <x:v>HYPERLINK is not implemented. linkLocation=https://pokecottage.com/pokemon-master-sets/teddiursa, friendlyName=Teddiursa</x:v>
      </x:c>
      <x:c r="D297" s="8" t="str">
        <x:v>Gen 2 • Johto</x:v>
      </x:c>
      <x:c r="E297" s="8"/>
      <x:c r="F297" s="8"/>
    </x:row>
    <x:row r="298" ht="25" customHeight="1">
      <x:c r="A298" s="13" t="str">
        <x:v>☐</x:v>
      </x:c>
      <x:c r="B298" s="11" t="n">
        <x:v>217</x:v>
      </x:c>
      <x:c r="C298" s="15" t="e">
        <x:f>HYPERLINK("https://pokecottage.com/pokemon-master-sets/ursaring","Ursaring")</x:f>
        <x:v>HYPERLINK is not implemented. linkLocation=https://pokecottage.com/pokemon-master-sets/ursaring, friendlyName=Ursaring</x:v>
      </x:c>
      <x:c r="D298" s="7" t="str">
        <x:v>Gen 2 • Johto</x:v>
      </x:c>
      <x:c r="E298" s="7"/>
      <x:c r="F298" s="7"/>
    </x:row>
    <x:row r="299" ht="25" customHeight="1">
      <x:c r="A299" s="14" t="str">
        <x:v>☐</x:v>
      </x:c>
      <x:c r="B299" s="12" t="n">
        <x:v>218</x:v>
      </x:c>
      <x:c r="C299" s="16" t="e">
        <x:f>HYPERLINK("https://pokecottage.com/pokemon-master-sets/slugma","Slugma")</x:f>
        <x:v>HYPERLINK is not implemented. linkLocation=https://pokecottage.com/pokemon-master-sets/slugma, friendlyName=Slugma</x:v>
      </x:c>
      <x:c r="D299" s="8" t="str">
        <x:v>Gen 2 • Johto</x:v>
      </x:c>
      <x:c r="E299" s="8"/>
      <x:c r="F299" s="8"/>
    </x:row>
    <x:row r="300" ht="25" customHeight="1">
      <x:c r="A300" s="13" t="str">
        <x:v>☐</x:v>
      </x:c>
      <x:c r="B300" s="11" t="n">
        <x:v>219</x:v>
      </x:c>
      <x:c r="C300" s="15" t="e">
        <x:f>HYPERLINK("https://pokecottage.com/pokemon-master-sets/magcargo","Magcargo")</x:f>
        <x:v>HYPERLINK is not implemented. linkLocation=https://pokecottage.com/pokemon-master-sets/magcargo, friendlyName=Magcargo</x:v>
      </x:c>
      <x:c r="D300" s="7" t="str">
        <x:v>Gen 2 • Johto</x:v>
      </x:c>
      <x:c r="E300" s="7"/>
      <x:c r="F300" s="7"/>
    </x:row>
    <x:row r="301" ht="25" customHeight="1">
      <x:c r="A301" s="14" t="str">
        <x:v>☐</x:v>
      </x:c>
      <x:c r="B301" s="12" t="n">
        <x:v>220</x:v>
      </x:c>
      <x:c r="C301" s="16" t="e">
        <x:f>HYPERLINK("https://pokecottage.com/pokemon-master-sets/swinub","Swinub")</x:f>
        <x:v>HYPERLINK is not implemented. linkLocation=https://pokecottage.com/pokemon-master-sets/swinub, friendlyName=Swinub</x:v>
      </x:c>
      <x:c r="D301" s="8" t="str">
        <x:v>Gen 2 • Johto</x:v>
      </x:c>
      <x:c r="E301" s="8"/>
      <x:c r="F301" s="8"/>
    </x:row>
    <x:row r="302" ht="25" customHeight="1">
      <x:c r="A302" s="13" t="str">
        <x:v>☐</x:v>
      </x:c>
      <x:c r="B302" s="11" t="n">
        <x:v>221</x:v>
      </x:c>
      <x:c r="C302" s="15" t="e">
        <x:f>HYPERLINK("https://pokecottage.com/pokemon-master-sets/piloswine","Piloswine")</x:f>
        <x:v>HYPERLINK is not implemented. linkLocation=https://pokecottage.com/pokemon-master-sets/piloswine, friendlyName=Piloswine</x:v>
      </x:c>
      <x:c r="D302" s="7" t="str">
        <x:v>Gen 2 • Johto</x:v>
      </x:c>
      <x:c r="E302" s="7"/>
      <x:c r="F302" s="7"/>
    </x:row>
    <x:row r="303" ht="25" customHeight="1">
      <x:c r="A303" s="14" t="str">
        <x:v>☐</x:v>
      </x:c>
      <x:c r="B303" s="12" t="n">
        <x:v>222</x:v>
      </x:c>
      <x:c r="C303" s="16" t="e">
        <x:f>HYPERLINK("https://pokecottage.com/pokemon-master-sets/corsola","Corsola")</x:f>
        <x:v>HYPERLINK is not implemented. linkLocation=https://pokecottage.com/pokemon-master-sets/corsola, friendlyName=Corsola</x:v>
      </x:c>
      <x:c r="D303" s="8" t="str">
        <x:v>Gen 2 • Johto</x:v>
      </x:c>
      <x:c r="E303" s="8"/>
      <x:c r="F303" s="8"/>
    </x:row>
    <x:row r="304" ht="25" customHeight="1">
      <x:c r="A304" s="13" t="str">
        <x:v>☐</x:v>
      </x:c>
      <x:c r="B304" s="11" t="n">
        <x:v>222</x:v>
      </x:c>
      <x:c r="C304" s="15" t="e">
        <x:f>HYPERLINK("https://pokecottage.com/pokemon-master-sets/corsola","Galarian Corsola")</x:f>
        <x:v>HYPERLINK is not implemented. linkLocation=https://pokecottage.com/pokemon-master-sets/corsola, friendlyName=Galarian Corsola</x:v>
      </x:c>
      <x:c r="D304" s="7" t="str">
        <x:v>Regional</x:v>
      </x:c>
      <x:c r="E304" s="7"/>
      <x:c r="F304" s="7"/>
    </x:row>
    <x:row r="305" ht="25" customHeight="1">
      <x:c r="A305" s="14" t="str">
        <x:v>☐</x:v>
      </x:c>
      <x:c r="B305" s="12" t="n">
        <x:v>223</x:v>
      </x:c>
      <x:c r="C305" s="16" t="e">
        <x:f>HYPERLINK("https://pokecottage.com/pokemon-master-sets/remoraid","Remoraid")</x:f>
        <x:v>HYPERLINK is not implemented. linkLocation=https://pokecottage.com/pokemon-master-sets/remoraid, friendlyName=Remoraid</x:v>
      </x:c>
      <x:c r="D305" s="8" t="str">
        <x:v>Gen 2 • Johto</x:v>
      </x:c>
      <x:c r="E305" s="8"/>
      <x:c r="F305" s="8"/>
    </x:row>
    <x:row r="306" ht="25" customHeight="1">
      <x:c r="A306" s="13" t="str">
        <x:v>☐</x:v>
      </x:c>
      <x:c r="B306" s="11" t="n">
        <x:v>224</x:v>
      </x:c>
      <x:c r="C306" s="15" t="e">
        <x:f>HYPERLINK("https://pokecottage.com/pokemon-master-sets/octillery","Octillery")</x:f>
        <x:v>HYPERLINK is not implemented. linkLocation=https://pokecottage.com/pokemon-master-sets/octillery, friendlyName=Octillery</x:v>
      </x:c>
      <x:c r="D306" s="7" t="str">
        <x:v>Gen 2 • Johto</x:v>
      </x:c>
      <x:c r="E306" s="7"/>
      <x:c r="F306" s="7"/>
    </x:row>
    <x:row r="307" ht="25" customHeight="1">
      <x:c r="A307" s="14" t="str">
        <x:v>☐</x:v>
      </x:c>
      <x:c r="B307" s="12" t="n">
        <x:v>225</x:v>
      </x:c>
      <x:c r="C307" s="16" t="e">
        <x:f>HYPERLINK("https://pokecottage.com/pokemon-master-sets/delibird","Delibird")</x:f>
        <x:v>HYPERLINK is not implemented. linkLocation=https://pokecottage.com/pokemon-master-sets/delibird, friendlyName=Delibird</x:v>
      </x:c>
      <x:c r="D307" s="8" t="str">
        <x:v>Gen 2 • Johto</x:v>
      </x:c>
      <x:c r="E307" s="8"/>
      <x:c r="F307" s="8"/>
    </x:row>
    <x:row r="308" ht="25" customHeight="1">
      <x:c r="A308" s="13" t="str">
        <x:v>☐</x:v>
      </x:c>
      <x:c r="B308" s="11" t="n">
        <x:v>226</x:v>
      </x:c>
      <x:c r="C308" s="15" t="e">
        <x:f>HYPERLINK("https://pokecottage.com/pokemon-master-sets/mantine","Mantine")</x:f>
        <x:v>HYPERLINK is not implemented. linkLocation=https://pokecottage.com/pokemon-master-sets/mantine, friendlyName=Mantine</x:v>
      </x:c>
      <x:c r="D308" s="7" t="str">
        <x:v>Gen 2 • Johto</x:v>
      </x:c>
      <x:c r="E308" s="7"/>
      <x:c r="F308" s="7"/>
    </x:row>
    <x:row r="309" ht="25" customHeight="1">
      <x:c r="A309" s="14" t="str">
        <x:v>☐</x:v>
      </x:c>
      <x:c r="B309" s="12" t="n">
        <x:v>227</x:v>
      </x:c>
      <x:c r="C309" s="16" t="e">
        <x:f>HYPERLINK("https://pokecottage.com/pokemon-master-sets/skarmory","Skarmory")</x:f>
        <x:v>HYPERLINK is not implemented. linkLocation=https://pokecottage.com/pokemon-master-sets/skarmory, friendlyName=Skarmory</x:v>
      </x:c>
      <x:c r="D309" s="8" t="str">
        <x:v>Gen 2 • Johto</x:v>
      </x:c>
      <x:c r="E309" s="8"/>
      <x:c r="F309" s="8"/>
    </x:row>
    <x:row r="310" ht="25" customHeight="1">
      <x:c r="A310" s="13" t="str">
        <x:v>☐</x:v>
      </x:c>
      <x:c r="B310" s="11" t="n">
        <x:v>227</x:v>
      </x:c>
      <x:c r="C310" s="15" t="e">
        <x:f>HYPERLINK("https://pokecottage.com/pokemon-master-sets/skarmory","Mega Skarmory")</x:f>
        <x:v>HYPERLINK is not implemented. linkLocation=https://pokecottage.com/pokemon-master-sets/skarmory, friendlyName=Mega Skarmory</x:v>
      </x:c>
      <x:c r="D310" s="7" t="str">
        <x:v>Mega Evolution</x:v>
      </x:c>
      <x:c r="E310" s="7"/>
      <x:c r="F310" s="7"/>
    </x:row>
    <x:row r="311" ht="25" customHeight="1">
      <x:c r="A311" s="14" t="str">
        <x:v>☐</x:v>
      </x:c>
      <x:c r="B311" s="12" t="n">
        <x:v>228</x:v>
      </x:c>
      <x:c r="C311" s="16" t="e">
        <x:f>HYPERLINK("https://pokecottage.com/pokemon-master-sets/houndour","Houndour")</x:f>
        <x:v>HYPERLINK is not implemented. linkLocation=https://pokecottage.com/pokemon-master-sets/houndour, friendlyName=Houndour</x:v>
      </x:c>
      <x:c r="D311" s="8" t="str">
        <x:v>Gen 2 • Johto</x:v>
      </x:c>
      <x:c r="E311" s="8"/>
      <x:c r="F311" s="8"/>
    </x:row>
    <x:row r="312" ht="25" customHeight="1">
      <x:c r="A312" s="13" t="str">
        <x:v>☐</x:v>
      </x:c>
      <x:c r="B312" s="11" t="n">
        <x:v>229</x:v>
      </x:c>
      <x:c r="C312" s="15" t="e">
        <x:f>HYPERLINK("https://pokecottage.com/pokemon-master-sets/houndoom","Houndoom")</x:f>
        <x:v>HYPERLINK is not implemented. linkLocation=https://pokecottage.com/pokemon-master-sets/houndoom, friendlyName=Houndoom</x:v>
      </x:c>
      <x:c r="D312" s="7" t="str">
        <x:v>Gen 2 • Johto</x:v>
      </x:c>
      <x:c r="E312" s="7"/>
      <x:c r="F312" s="7"/>
    </x:row>
    <x:row r="313" ht="25" customHeight="1">
      <x:c r="A313" s="14" t="str">
        <x:v>☐</x:v>
      </x:c>
      <x:c r="B313" s="12" t="n">
        <x:v>229</x:v>
      </x:c>
      <x:c r="C313" s="16" t="e">
        <x:f>HYPERLINK("https://pokecottage.com/pokemon-master-sets/houndoom","Mega Houndoom")</x:f>
        <x:v>HYPERLINK is not implemented. linkLocation=https://pokecottage.com/pokemon-master-sets/houndoom, friendlyName=Mega Houndoom</x:v>
      </x:c>
      <x:c r="D313" s="8" t="str">
        <x:v>Mega Evolution</x:v>
      </x:c>
      <x:c r="E313" s="8"/>
      <x:c r="F313" s="8"/>
    </x:row>
    <x:row r="314" ht="25" customHeight="1">
      <x:c r="A314" s="13" t="str">
        <x:v>☐</x:v>
      </x:c>
      <x:c r="B314" s="11" t="n">
        <x:v>230</x:v>
      </x:c>
      <x:c r="C314" s="15" t="e">
        <x:f>HYPERLINK("https://pokecottage.com/pokemon-master-sets/kingdra","Kingdra")</x:f>
        <x:v>HYPERLINK is not implemented. linkLocation=https://pokecottage.com/pokemon-master-sets/kingdra, friendlyName=Kingdra</x:v>
      </x:c>
      <x:c r="D314" s="7" t="str">
        <x:v>Gen 2 • Johto</x:v>
      </x:c>
      <x:c r="E314" s="7"/>
      <x:c r="F314" s="7"/>
    </x:row>
    <x:row r="315" ht="25" customHeight="1">
      <x:c r="A315" s="14" t="str">
        <x:v>☐</x:v>
      </x:c>
      <x:c r="B315" s="12" t="n">
        <x:v>231</x:v>
      </x:c>
      <x:c r="C315" s="16" t="e">
        <x:f>HYPERLINK("https://pokecottage.com/pokemon-master-sets/phanpy","Phanpy")</x:f>
        <x:v>HYPERLINK is not implemented. linkLocation=https://pokecottage.com/pokemon-master-sets/phanpy, friendlyName=Phanpy</x:v>
      </x:c>
      <x:c r="D315" s="8" t="str">
        <x:v>Gen 2 • Johto</x:v>
      </x:c>
      <x:c r="E315" s="8"/>
      <x:c r="F315" s="8"/>
    </x:row>
    <x:row r="316" ht="25" customHeight="1">
      <x:c r="A316" s="13" t="str">
        <x:v>☐</x:v>
      </x:c>
      <x:c r="B316" s="11" t="n">
        <x:v>232</x:v>
      </x:c>
      <x:c r="C316" s="15" t="e">
        <x:f>HYPERLINK("https://pokecottage.com/pokemon-master-sets/donphan","Donphan")</x:f>
        <x:v>HYPERLINK is not implemented. linkLocation=https://pokecottage.com/pokemon-master-sets/donphan, friendlyName=Donphan</x:v>
      </x:c>
      <x:c r="D316" s="7" t="str">
        <x:v>Gen 2 • Johto</x:v>
      </x:c>
      <x:c r="E316" s="7"/>
      <x:c r="F316" s="7"/>
    </x:row>
    <x:row r="317" ht="25" customHeight="1">
      <x:c r="A317" s="14" t="str">
        <x:v>☐</x:v>
      </x:c>
      <x:c r="B317" s="12" t="n">
        <x:v>233</x:v>
      </x:c>
      <x:c r="C317" s="16" t="e">
        <x:f>HYPERLINK("https://pokecottage.com/pokemon-master-sets/porygon2","Porygon2")</x:f>
        <x:v>HYPERLINK is not implemented. linkLocation=https://pokecottage.com/pokemon-master-sets/porygon2, friendlyName=Porygon2</x:v>
      </x:c>
      <x:c r="D317" s="8" t="str">
        <x:v>Gen 2 • Johto</x:v>
      </x:c>
      <x:c r="E317" s="8"/>
      <x:c r="F317" s="8"/>
    </x:row>
    <x:row r="318" ht="25" customHeight="1">
      <x:c r="A318" s="13" t="str">
        <x:v>☐</x:v>
      </x:c>
      <x:c r="B318" s="11" t="n">
        <x:v>234</x:v>
      </x:c>
      <x:c r="C318" s="15" t="e">
        <x:f>HYPERLINK("https://pokecottage.com/pokemon-master-sets/stantler","Stantler")</x:f>
        <x:v>HYPERLINK is not implemented. linkLocation=https://pokecottage.com/pokemon-master-sets/stantler, friendlyName=Stantler</x:v>
      </x:c>
      <x:c r="D318" s="7" t="str">
        <x:v>Gen 2 • Johto</x:v>
      </x:c>
      <x:c r="E318" s="7"/>
      <x:c r="F318" s="7"/>
    </x:row>
    <x:row r="319" ht="25" customHeight="1">
      <x:c r="A319" s="14" t="str">
        <x:v>☐</x:v>
      </x:c>
      <x:c r="B319" s="12" t="n">
        <x:v>235</x:v>
      </x:c>
      <x:c r="C319" s="16" t="e">
        <x:f>HYPERLINK("https://pokecottage.com/pokemon-master-sets/smeargle","Smeargle")</x:f>
        <x:v>HYPERLINK is not implemented. linkLocation=https://pokecottage.com/pokemon-master-sets/smeargle, friendlyName=Smeargle</x:v>
      </x:c>
      <x:c r="D319" s="8" t="str">
        <x:v>Gen 2 • Johto</x:v>
      </x:c>
      <x:c r="E319" s="8"/>
      <x:c r="F319" s="8"/>
    </x:row>
    <x:row r="320" ht="25" customHeight="1">
      <x:c r="A320" s="13" t="str">
        <x:v>☐</x:v>
      </x:c>
      <x:c r="B320" s="11" t="n">
        <x:v>236</x:v>
      </x:c>
      <x:c r="C320" s="15" t="e">
        <x:f>HYPERLINK("https://pokecottage.com/pokemon-master-sets/tyrogue","Tyrogue")</x:f>
        <x:v>HYPERLINK is not implemented. linkLocation=https://pokecottage.com/pokemon-master-sets/tyrogue, friendlyName=Tyrogue</x:v>
      </x:c>
      <x:c r="D320" s="7" t="str">
        <x:v>Gen 2 • Johto</x:v>
      </x:c>
      <x:c r="E320" s="7"/>
      <x:c r="F320" s="7"/>
    </x:row>
    <x:row r="321" ht="25" customHeight="1">
      <x:c r="A321" s="14" t="str">
        <x:v>☐</x:v>
      </x:c>
      <x:c r="B321" s="12" t="n">
        <x:v>237</x:v>
      </x:c>
      <x:c r="C321" s="16" t="e">
        <x:f>HYPERLINK("https://pokecottage.com/pokemon-master-sets/hitmontop","Hitmontop")</x:f>
        <x:v>HYPERLINK is not implemented. linkLocation=https://pokecottage.com/pokemon-master-sets/hitmontop, friendlyName=Hitmontop</x:v>
      </x:c>
      <x:c r="D321" s="8" t="str">
        <x:v>Gen 2 • Johto</x:v>
      </x:c>
      <x:c r="E321" s="8"/>
      <x:c r="F321" s="8"/>
    </x:row>
    <x:row r="322" ht="25" customHeight="1">
      <x:c r="A322" s="13" t="str">
        <x:v>☐</x:v>
      </x:c>
      <x:c r="B322" s="11" t="n">
        <x:v>238</x:v>
      </x:c>
      <x:c r="C322" s="15" t="e">
        <x:f>HYPERLINK("https://pokecottage.com/pokemon-master-sets/smoochum","Smoochum")</x:f>
        <x:v>HYPERLINK is not implemented. linkLocation=https://pokecottage.com/pokemon-master-sets/smoochum, friendlyName=Smoochum</x:v>
      </x:c>
      <x:c r="D322" s="7" t="str">
        <x:v>Gen 2 • Johto</x:v>
      </x:c>
      <x:c r="E322" s="7"/>
      <x:c r="F322" s="7"/>
    </x:row>
    <x:row r="323" ht="25" customHeight="1">
      <x:c r="A323" s="14" t="str">
        <x:v>☐</x:v>
      </x:c>
      <x:c r="B323" s="12" t="n">
        <x:v>239</x:v>
      </x:c>
      <x:c r="C323" s="16" t="e">
        <x:f>HYPERLINK("https://pokecottage.com/pokemon-master-sets/elekid","Elekid")</x:f>
        <x:v>HYPERLINK is not implemented. linkLocation=https://pokecottage.com/pokemon-master-sets/elekid, friendlyName=Elekid</x:v>
      </x:c>
      <x:c r="D323" s="8" t="str">
        <x:v>Gen 2 • Johto</x:v>
      </x:c>
      <x:c r="E323" s="8"/>
      <x:c r="F323" s="8"/>
    </x:row>
    <x:row r="324" ht="25" customHeight="1">
      <x:c r="A324" s="13" t="str">
        <x:v>☐</x:v>
      </x:c>
      <x:c r="B324" s="11" t="n">
        <x:v>240</x:v>
      </x:c>
      <x:c r="C324" s="15" t="e">
        <x:f>HYPERLINK("https://pokecottage.com/pokemon-master-sets/magby","Magby")</x:f>
        <x:v>HYPERLINK is not implemented. linkLocation=https://pokecottage.com/pokemon-master-sets/magby, friendlyName=Magby</x:v>
      </x:c>
      <x:c r="D324" s="7" t="str">
        <x:v>Gen 2 • Johto</x:v>
      </x:c>
      <x:c r="E324" s="7"/>
      <x:c r="F324" s="7"/>
    </x:row>
    <x:row r="325" ht="25" customHeight="1">
      <x:c r="A325" s="14" t="str">
        <x:v>☐</x:v>
      </x:c>
      <x:c r="B325" s="12" t="n">
        <x:v>241</x:v>
      </x:c>
      <x:c r="C325" s="16" t="e">
        <x:f>HYPERLINK("https://pokecottage.com/pokemon-master-sets/miltank","Miltank")</x:f>
        <x:v>HYPERLINK is not implemented. linkLocation=https://pokecottage.com/pokemon-master-sets/miltank, friendlyName=Miltank</x:v>
      </x:c>
      <x:c r="D325" s="8" t="str">
        <x:v>Gen 2 • Johto</x:v>
      </x:c>
      <x:c r="E325" s="8"/>
      <x:c r="F325" s="8"/>
    </x:row>
    <x:row r="326" ht="25" customHeight="1">
      <x:c r="A326" s="13" t="str">
        <x:v>☐</x:v>
      </x:c>
      <x:c r="B326" s="11" t="n">
        <x:v>242</x:v>
      </x:c>
      <x:c r="C326" s="15" t="e">
        <x:f>HYPERLINK("https://pokecottage.com/pokemon-master-sets/blissey","Blissey")</x:f>
        <x:v>HYPERLINK is not implemented. linkLocation=https://pokecottage.com/pokemon-master-sets/blissey, friendlyName=Blissey</x:v>
      </x:c>
      <x:c r="D326" s="7" t="str">
        <x:v>Gen 2 • Johto</x:v>
      </x:c>
      <x:c r="E326" s="7"/>
      <x:c r="F326" s="7"/>
    </x:row>
    <x:row r="327" ht="25" customHeight="1">
      <x:c r="A327" s="14" t="str">
        <x:v>☐</x:v>
      </x:c>
      <x:c r="B327" s="12" t="n">
        <x:v>243</x:v>
      </x:c>
      <x:c r="C327" s="16" t="e">
        <x:f>HYPERLINK("https://pokecottage.com/pokemon-master-sets/raikou","Raikou")</x:f>
        <x:v>HYPERLINK is not implemented. linkLocation=https://pokecottage.com/pokemon-master-sets/raikou, friendlyName=Raikou</x:v>
      </x:c>
      <x:c r="D327" s="8" t="str">
        <x:v>Gen 2 • Johto</x:v>
      </x:c>
      <x:c r="E327" s="8"/>
      <x:c r="F327" s="8"/>
    </x:row>
    <x:row r="328" ht="25" customHeight="1">
      <x:c r="A328" s="13" t="str">
        <x:v>☐</x:v>
      </x:c>
      <x:c r="B328" s="11" t="n">
        <x:v>244</x:v>
      </x:c>
      <x:c r="C328" s="15" t="e">
        <x:f>HYPERLINK("https://pokecottage.com/pokemon-master-sets/entei","Entei")</x:f>
        <x:v>HYPERLINK is not implemented. linkLocation=https://pokecottage.com/pokemon-master-sets/entei, friendlyName=Entei</x:v>
      </x:c>
      <x:c r="D328" s="7" t="str">
        <x:v>Gen 2 • Johto</x:v>
      </x:c>
      <x:c r="E328" s="7"/>
      <x:c r="F328" s="7"/>
    </x:row>
    <x:row r="329" ht="25" customHeight="1">
      <x:c r="A329" s="14" t="str">
        <x:v>☐</x:v>
      </x:c>
      <x:c r="B329" s="12" t="n">
        <x:v>245</x:v>
      </x:c>
      <x:c r="C329" s="16" t="e">
        <x:f>HYPERLINK("https://pokecottage.com/pokemon-master-sets/suicune","Suicune")</x:f>
        <x:v>HYPERLINK is not implemented. linkLocation=https://pokecottage.com/pokemon-master-sets/suicune, friendlyName=Suicune</x:v>
      </x:c>
      <x:c r="D329" s="8" t="str">
        <x:v>Gen 2 • Johto</x:v>
      </x:c>
      <x:c r="E329" s="8"/>
      <x:c r="F329" s="8"/>
    </x:row>
    <x:row r="330" ht="25" customHeight="1">
      <x:c r="A330" s="13" t="str">
        <x:v>☐</x:v>
      </x:c>
      <x:c r="B330" s="11" t="n">
        <x:v>246</x:v>
      </x:c>
      <x:c r="C330" s="15" t="e">
        <x:f>HYPERLINK("https://pokecottage.com/pokemon-master-sets/larvitar","Larvitar")</x:f>
        <x:v>HYPERLINK is not implemented. linkLocation=https://pokecottage.com/pokemon-master-sets/larvitar, friendlyName=Larvitar</x:v>
      </x:c>
      <x:c r="D330" s="7" t="str">
        <x:v>Gen 2 • Johto</x:v>
      </x:c>
      <x:c r="E330" s="7"/>
      <x:c r="F330" s="7"/>
    </x:row>
    <x:row r="331" ht="25" customHeight="1">
      <x:c r="A331" s="14" t="str">
        <x:v>☐</x:v>
      </x:c>
      <x:c r="B331" s="12" t="n">
        <x:v>247</x:v>
      </x:c>
      <x:c r="C331" s="16" t="e">
        <x:f>HYPERLINK("https://pokecottage.com/pokemon-master-sets/pupitar","Pupitar")</x:f>
        <x:v>HYPERLINK is not implemented. linkLocation=https://pokecottage.com/pokemon-master-sets/pupitar, friendlyName=Pupitar</x:v>
      </x:c>
      <x:c r="D331" s="8" t="str">
        <x:v>Gen 2 • Johto</x:v>
      </x:c>
      <x:c r="E331" s="8"/>
      <x:c r="F331" s="8"/>
    </x:row>
    <x:row r="332" ht="25" customHeight="1">
      <x:c r="A332" s="13" t="str">
        <x:v>☐</x:v>
      </x:c>
      <x:c r="B332" s="11" t="n">
        <x:v>248</x:v>
      </x:c>
      <x:c r="C332" s="15" t="e">
        <x:f>HYPERLINK("https://pokecottage.com/pokemon-master-sets/tyranitar","Tyranitar")</x:f>
        <x:v>HYPERLINK is not implemented. linkLocation=https://pokecottage.com/pokemon-master-sets/tyranitar, friendlyName=Tyranitar</x:v>
      </x:c>
      <x:c r="D332" s="7" t="str">
        <x:v>Gen 2 • Johto</x:v>
      </x:c>
      <x:c r="E332" s="7"/>
      <x:c r="F332" s="7"/>
    </x:row>
    <x:row r="333" ht="25" customHeight="1">
      <x:c r="A333" s="14" t="str">
        <x:v>☐</x:v>
      </x:c>
      <x:c r="B333" s="12" t="n">
        <x:v>248</x:v>
      </x:c>
      <x:c r="C333" s="16" t="e">
        <x:f>HYPERLINK("https://pokecottage.com/pokemon-master-sets/tyranitar","Mega Tyranitar")</x:f>
        <x:v>HYPERLINK is not implemented. linkLocation=https://pokecottage.com/pokemon-master-sets/tyranitar, friendlyName=Mega Tyranitar</x:v>
      </x:c>
      <x:c r="D333" s="8" t="str">
        <x:v>Mega Evolution</x:v>
      </x:c>
      <x:c r="E333" s="8"/>
      <x:c r="F333" s="8"/>
    </x:row>
    <x:row r="334" ht="25" customHeight="1">
      <x:c r="A334" s="13" t="str">
        <x:v>☐</x:v>
      </x:c>
      <x:c r="B334" s="11" t="n">
        <x:v>249</x:v>
      </x:c>
      <x:c r="C334" s="15" t="e">
        <x:f>HYPERLINK("https://pokecottage.com/pokemon-master-sets/lugia","Lugia")</x:f>
        <x:v>HYPERLINK is not implemented. linkLocation=https://pokecottage.com/pokemon-master-sets/lugia, friendlyName=Lugia</x:v>
      </x:c>
      <x:c r="D334" s="7" t="str">
        <x:v>Gen 2 • Johto</x:v>
      </x:c>
      <x:c r="E334" s="7"/>
      <x:c r="F334" s="7"/>
    </x:row>
    <x:row r="335" ht="25" customHeight="1">
      <x:c r="A335" s="14" t="str">
        <x:v>☐</x:v>
      </x:c>
      <x:c r="B335" s="12" t="n">
        <x:v>250</x:v>
      </x:c>
      <x:c r="C335" s="16" t="e">
        <x:f>HYPERLINK("https://pokecottage.com/pokemon-master-sets/ho-oh","Ho-Oh")</x:f>
        <x:v>HYPERLINK is not implemented. linkLocation=https://pokecottage.com/pokemon-master-sets/ho-oh, friendlyName=Ho-Oh</x:v>
      </x:c>
      <x:c r="D335" s="8" t="str">
        <x:v>Gen 2 • Johto</x:v>
      </x:c>
      <x:c r="E335" s="8"/>
      <x:c r="F335" s="8"/>
    </x:row>
    <x:row r="336" ht="25" customHeight="1">
      <x:c r="A336" s="13" t="str">
        <x:v>☐</x:v>
      </x:c>
      <x:c r="B336" s="11" t="n">
        <x:v>251</x:v>
      </x:c>
      <x:c r="C336" s="15" t="e">
        <x:f>HYPERLINK("https://pokecottage.com/pokemon-master-sets/celebi","Celebi")</x:f>
        <x:v>HYPERLINK is not implemented. linkLocation=https://pokecottage.com/pokemon-master-sets/celebi, friendlyName=Celebi</x:v>
      </x:c>
      <x:c r="D336" s="7" t="str">
        <x:v>Gen 2 • Johto</x:v>
      </x:c>
      <x:c r="E336" s="7"/>
      <x:c r="F336" s="7"/>
    </x:row>
    <x:row r="337" ht="25" customHeight="1">
      <x:c r="A337" s="14" t="str">
        <x:v>☐</x:v>
      </x:c>
      <x:c r="B337" s="12" t="n">
        <x:v>252</x:v>
      </x:c>
      <x:c r="C337" s="16" t="e">
        <x:f>HYPERLINK("https://pokecottage.com/pokemon-master-sets/treecko","Treecko")</x:f>
        <x:v>HYPERLINK is not implemented. linkLocation=https://pokecottage.com/pokemon-master-sets/treecko, friendlyName=Treecko</x:v>
      </x:c>
      <x:c r="D337" s="8" t="str">
        <x:v>Gen 3 • Hoenn</x:v>
      </x:c>
      <x:c r="E337" s="8"/>
      <x:c r="F337" s="8"/>
    </x:row>
    <x:row r="338" ht="25" customHeight="1">
      <x:c r="A338" s="13" t="str">
        <x:v>☐</x:v>
      </x:c>
      <x:c r="B338" s="11" t="n">
        <x:v>253</x:v>
      </x:c>
      <x:c r="C338" s="15" t="e">
        <x:f>HYPERLINK("https://pokecottage.com/pokemon-master-sets/grovyle","Grovyle")</x:f>
        <x:v>HYPERLINK is not implemented. linkLocation=https://pokecottage.com/pokemon-master-sets/grovyle, friendlyName=Grovyle</x:v>
      </x:c>
      <x:c r="D338" s="7" t="str">
        <x:v>Gen 3 • Hoenn</x:v>
      </x:c>
      <x:c r="E338" s="7"/>
      <x:c r="F338" s="7"/>
    </x:row>
    <x:row r="339" ht="25" customHeight="1">
      <x:c r="A339" s="14" t="str">
        <x:v>☐</x:v>
      </x:c>
      <x:c r="B339" s="12" t="n">
        <x:v>254</x:v>
      </x:c>
      <x:c r="C339" s="16" t="e">
        <x:f>HYPERLINK("https://pokecottage.com/pokemon-master-sets/sceptile","Sceptile")</x:f>
        <x:v>HYPERLINK is not implemented. linkLocation=https://pokecottage.com/pokemon-master-sets/sceptile, friendlyName=Sceptile</x:v>
      </x:c>
      <x:c r="D339" s="8" t="str">
        <x:v>Gen 3 • Hoenn</x:v>
      </x:c>
      <x:c r="E339" s="8"/>
      <x:c r="F339" s="8"/>
    </x:row>
    <x:row r="340" ht="25" customHeight="1">
      <x:c r="A340" s="13" t="str">
        <x:v>☐</x:v>
      </x:c>
      <x:c r="B340" s="11" t="n">
        <x:v>254</x:v>
      </x:c>
      <x:c r="C340" s="15" t="e">
        <x:f>HYPERLINK("https://pokecottage.com/pokemon-master-sets/sceptile","Mega Sceptile")</x:f>
        <x:v>HYPERLINK is not implemented. linkLocation=https://pokecottage.com/pokemon-master-sets/sceptile, friendlyName=Mega Sceptile</x:v>
      </x:c>
      <x:c r="D340" s="7" t="str">
        <x:v>Mega Evolution</x:v>
      </x:c>
      <x:c r="E340" s="7"/>
      <x:c r="F340" s="7"/>
    </x:row>
    <x:row r="341" ht="25" customHeight="1">
      <x:c r="A341" s="14" t="str">
        <x:v>☐</x:v>
      </x:c>
      <x:c r="B341" s="12" t="n">
        <x:v>255</x:v>
      </x:c>
      <x:c r="C341" s="16" t="e">
        <x:f>HYPERLINK("https://pokecottage.com/pokemon-master-sets/torchic","Torchic")</x:f>
        <x:v>HYPERLINK is not implemented. linkLocation=https://pokecottage.com/pokemon-master-sets/torchic, friendlyName=Torchic</x:v>
      </x:c>
      <x:c r="D341" s="8" t="str">
        <x:v>Gen 3 • Hoenn</x:v>
      </x:c>
      <x:c r="E341" s="8"/>
      <x:c r="F341" s="8"/>
    </x:row>
    <x:row r="342" ht="25" customHeight="1">
      <x:c r="A342" s="13" t="str">
        <x:v>☐</x:v>
      </x:c>
      <x:c r="B342" s="11" t="n">
        <x:v>256</x:v>
      </x:c>
      <x:c r="C342" s="15" t="e">
        <x:f>HYPERLINK("https://pokecottage.com/pokemon-master-sets/combusken","Combusken")</x:f>
        <x:v>HYPERLINK is not implemented. linkLocation=https://pokecottage.com/pokemon-master-sets/combusken, friendlyName=Combusken</x:v>
      </x:c>
      <x:c r="D342" s="7" t="str">
        <x:v>Gen 3 • Hoenn</x:v>
      </x:c>
      <x:c r="E342" s="7"/>
      <x:c r="F342" s="7"/>
    </x:row>
    <x:row r="343" ht="25" customHeight="1">
      <x:c r="A343" s="14" t="str">
        <x:v>☐</x:v>
      </x:c>
      <x:c r="B343" s="12" t="n">
        <x:v>257</x:v>
      </x:c>
      <x:c r="C343" s="16" t="e">
        <x:f>HYPERLINK("https://pokecottage.com/pokemon-master-sets/blaziken","Blaziken")</x:f>
        <x:v>HYPERLINK is not implemented. linkLocation=https://pokecottage.com/pokemon-master-sets/blaziken, friendlyName=Blaziken</x:v>
      </x:c>
      <x:c r="D343" s="8" t="str">
        <x:v>Gen 3 • Hoenn</x:v>
      </x:c>
      <x:c r="E343" s="8"/>
      <x:c r="F343" s="8"/>
    </x:row>
    <x:row r="344" ht="25" customHeight="1">
      <x:c r="A344" s="13" t="str">
        <x:v>☐</x:v>
      </x:c>
      <x:c r="B344" s="11" t="n">
        <x:v>257</x:v>
      </x:c>
      <x:c r="C344" s="15" t="e">
        <x:f>HYPERLINK("https://pokecottage.com/pokemon-master-sets/blaziken","Mega Blaziken")</x:f>
        <x:v>HYPERLINK is not implemented. linkLocation=https://pokecottage.com/pokemon-master-sets/blaziken, friendlyName=Mega Blaziken</x:v>
      </x:c>
      <x:c r="D344" s="7" t="str">
        <x:v>Mega Evolution</x:v>
      </x:c>
      <x:c r="E344" s="7"/>
      <x:c r="F344" s="7"/>
    </x:row>
    <x:row r="345" ht="25" customHeight="1">
      <x:c r="A345" s="14" t="str">
        <x:v>☐</x:v>
      </x:c>
      <x:c r="B345" s="12" t="n">
        <x:v>258</x:v>
      </x:c>
      <x:c r="C345" s="16" t="e">
        <x:f>HYPERLINK("https://pokecottage.com/pokemon-master-sets/mudkip","Mudkip")</x:f>
        <x:v>HYPERLINK is not implemented. linkLocation=https://pokecottage.com/pokemon-master-sets/mudkip, friendlyName=Mudkip</x:v>
      </x:c>
      <x:c r="D345" s="8" t="str">
        <x:v>Gen 3 • Hoenn</x:v>
      </x:c>
      <x:c r="E345" s="8"/>
      <x:c r="F345" s="8"/>
    </x:row>
    <x:row r="346" ht="25" customHeight="1">
      <x:c r="A346" s="13" t="str">
        <x:v>☐</x:v>
      </x:c>
      <x:c r="B346" s="11" t="n">
        <x:v>259</x:v>
      </x:c>
      <x:c r="C346" s="15" t="e">
        <x:f>HYPERLINK("https://pokecottage.com/pokemon-master-sets/marshtomp","Marshtomp")</x:f>
        <x:v>HYPERLINK is not implemented. linkLocation=https://pokecottage.com/pokemon-master-sets/marshtomp, friendlyName=Marshtomp</x:v>
      </x:c>
      <x:c r="D346" s="7" t="str">
        <x:v>Gen 3 • Hoenn</x:v>
      </x:c>
      <x:c r="E346" s="7"/>
      <x:c r="F346" s="7"/>
    </x:row>
    <x:row r="347" ht="25" customHeight="1">
      <x:c r="A347" s="14" t="str">
        <x:v>☐</x:v>
      </x:c>
      <x:c r="B347" s="12" t="n">
        <x:v>260</x:v>
      </x:c>
      <x:c r="C347" s="16" t="e">
        <x:f>HYPERLINK("https://pokecottage.com/pokemon-master-sets/swampert","Swampert")</x:f>
        <x:v>HYPERLINK is not implemented. linkLocation=https://pokecottage.com/pokemon-master-sets/swampert, friendlyName=Swampert</x:v>
      </x:c>
      <x:c r="D347" s="8" t="str">
        <x:v>Gen 3 • Hoenn</x:v>
      </x:c>
      <x:c r="E347" s="8"/>
      <x:c r="F347" s="8"/>
    </x:row>
    <x:row r="348" ht="25" customHeight="1">
      <x:c r="A348" s="13" t="str">
        <x:v>☐</x:v>
      </x:c>
      <x:c r="B348" s="11" t="n">
        <x:v>260</x:v>
      </x:c>
      <x:c r="C348" s="15" t="e">
        <x:f>HYPERLINK("https://pokecottage.com/pokemon-master-sets/swampert","Mega Swampert")</x:f>
        <x:v>HYPERLINK is not implemented. linkLocation=https://pokecottage.com/pokemon-master-sets/swampert, friendlyName=Mega Swampert</x:v>
      </x:c>
      <x:c r="D348" s="7" t="str">
        <x:v>Mega Evolution</x:v>
      </x:c>
      <x:c r="E348" s="7"/>
      <x:c r="F348" s="7"/>
    </x:row>
    <x:row r="349" ht="25" customHeight="1">
      <x:c r="A349" s="14" t="str">
        <x:v>☐</x:v>
      </x:c>
      <x:c r="B349" s="12" t="n">
        <x:v>261</x:v>
      </x:c>
      <x:c r="C349" s="16" t="e">
        <x:f>HYPERLINK("https://pokecottage.com/pokemon-master-sets/poochyena","Poochyena")</x:f>
        <x:v>HYPERLINK is not implemented. linkLocation=https://pokecottage.com/pokemon-master-sets/poochyena, friendlyName=Poochyena</x:v>
      </x:c>
      <x:c r="D349" s="8" t="str">
        <x:v>Gen 3 • Hoenn</x:v>
      </x:c>
      <x:c r="E349" s="8"/>
      <x:c r="F349" s="8"/>
    </x:row>
    <x:row r="350" ht="25" customHeight="1">
      <x:c r="A350" s="13" t="str">
        <x:v>☐</x:v>
      </x:c>
      <x:c r="B350" s="11" t="n">
        <x:v>262</x:v>
      </x:c>
      <x:c r="C350" s="15" t="e">
        <x:f>HYPERLINK("https://pokecottage.com/pokemon-master-sets/mightyena","Mightyena")</x:f>
        <x:v>HYPERLINK is not implemented. linkLocation=https://pokecottage.com/pokemon-master-sets/mightyena, friendlyName=Mightyena</x:v>
      </x:c>
      <x:c r="D350" s="7" t="str">
        <x:v>Gen 3 • Hoenn</x:v>
      </x:c>
      <x:c r="E350" s="7"/>
      <x:c r="F350" s="7"/>
    </x:row>
    <x:row r="351" ht="25" customHeight="1">
      <x:c r="A351" s="14" t="str">
        <x:v>☐</x:v>
      </x:c>
      <x:c r="B351" s="12" t="n">
        <x:v>263</x:v>
      </x:c>
      <x:c r="C351" s="16" t="e">
        <x:f>HYPERLINK("https://pokecottage.com/pokemon-master-sets/zigzagoon","Zigzagoon")</x:f>
        <x:v>HYPERLINK is not implemented. linkLocation=https://pokecottage.com/pokemon-master-sets/zigzagoon, friendlyName=Zigzagoon</x:v>
      </x:c>
      <x:c r="D351" s="8" t="str">
        <x:v>Gen 3 • Hoenn</x:v>
      </x:c>
      <x:c r="E351" s="8"/>
      <x:c r="F351" s="8"/>
    </x:row>
    <x:row r="352" ht="25" customHeight="1">
      <x:c r="A352" s="13" t="str">
        <x:v>☐</x:v>
      </x:c>
      <x:c r="B352" s="11" t="n">
        <x:v>263</x:v>
      </x:c>
      <x:c r="C352" s="15" t="e">
        <x:f>HYPERLINK("https://pokecottage.com/pokemon-master-sets/zigzagoon","Galarian Zigzagoon")</x:f>
        <x:v>HYPERLINK is not implemented. linkLocation=https://pokecottage.com/pokemon-master-sets/zigzagoon, friendlyName=Galarian Zigzagoon</x:v>
      </x:c>
      <x:c r="D352" s="7" t="str">
        <x:v>Regional</x:v>
      </x:c>
      <x:c r="E352" s="7"/>
      <x:c r="F352" s="7"/>
    </x:row>
    <x:row r="353" ht="25" customHeight="1">
      <x:c r="A353" s="14" t="str">
        <x:v>☐</x:v>
      </x:c>
      <x:c r="B353" s="12" t="n">
        <x:v>264</x:v>
      </x:c>
      <x:c r="C353" s="16" t="e">
        <x:f>HYPERLINK("https://pokecottage.com/pokemon-master-sets/linoone","Linoone")</x:f>
        <x:v>HYPERLINK is not implemented. linkLocation=https://pokecottage.com/pokemon-master-sets/linoone, friendlyName=Linoone</x:v>
      </x:c>
      <x:c r="D353" s="8" t="str">
        <x:v>Gen 3 • Hoenn</x:v>
      </x:c>
      <x:c r="E353" s="8"/>
      <x:c r="F353" s="8"/>
    </x:row>
    <x:row r="354" ht="25" customHeight="1">
      <x:c r="A354" s="13" t="str">
        <x:v>☐</x:v>
      </x:c>
      <x:c r="B354" s="11" t="n">
        <x:v>264</x:v>
      </x:c>
      <x:c r="C354" s="15" t="e">
        <x:f>HYPERLINK("https://pokecottage.com/pokemon-master-sets/linoone","Galarian Linoone")</x:f>
        <x:v>HYPERLINK is not implemented. linkLocation=https://pokecottage.com/pokemon-master-sets/linoone, friendlyName=Galarian Linoone</x:v>
      </x:c>
      <x:c r="D354" s="7" t="str">
        <x:v>Regional</x:v>
      </x:c>
      <x:c r="E354" s="7"/>
      <x:c r="F354" s="7"/>
    </x:row>
    <x:row r="355" ht="25" customHeight="1">
      <x:c r="A355" s="14" t="str">
        <x:v>☐</x:v>
      </x:c>
      <x:c r="B355" s="12" t="n">
        <x:v>265</x:v>
      </x:c>
      <x:c r="C355" s="16" t="e">
        <x:f>HYPERLINK("https://pokecottage.com/pokemon-master-sets/wurmple","Wurmple")</x:f>
        <x:v>HYPERLINK is not implemented. linkLocation=https://pokecottage.com/pokemon-master-sets/wurmple, friendlyName=Wurmple</x:v>
      </x:c>
      <x:c r="D355" s="8" t="str">
        <x:v>Gen 3 • Hoenn</x:v>
      </x:c>
      <x:c r="E355" s="8"/>
      <x:c r="F355" s="8"/>
    </x:row>
    <x:row r="356" ht="25" customHeight="1">
      <x:c r="A356" s="13" t="str">
        <x:v>☐</x:v>
      </x:c>
      <x:c r="B356" s="11" t="n">
        <x:v>266</x:v>
      </x:c>
      <x:c r="C356" s="15" t="e">
        <x:f>HYPERLINK("https://pokecottage.com/pokemon-master-sets/silcoon","Silcoon")</x:f>
        <x:v>HYPERLINK is not implemented. linkLocation=https://pokecottage.com/pokemon-master-sets/silcoon, friendlyName=Silcoon</x:v>
      </x:c>
      <x:c r="D356" s="7" t="str">
        <x:v>Gen 3 • Hoenn</x:v>
      </x:c>
      <x:c r="E356" s="7"/>
      <x:c r="F356" s="7"/>
    </x:row>
    <x:row r="357" ht="25" customHeight="1">
      <x:c r="A357" s="14" t="str">
        <x:v>☐</x:v>
      </x:c>
      <x:c r="B357" s="12" t="n">
        <x:v>267</x:v>
      </x:c>
      <x:c r="C357" s="16" t="e">
        <x:f>HYPERLINK("https://pokecottage.com/pokemon-master-sets/beautifly","Beautifly")</x:f>
        <x:v>HYPERLINK is not implemented. linkLocation=https://pokecottage.com/pokemon-master-sets/beautifly, friendlyName=Beautifly</x:v>
      </x:c>
      <x:c r="D357" s="8" t="str">
        <x:v>Gen 3 • Hoenn</x:v>
      </x:c>
      <x:c r="E357" s="8"/>
      <x:c r="F357" s="8"/>
    </x:row>
    <x:row r="358" ht="25" customHeight="1">
      <x:c r="A358" s="13" t="str">
        <x:v>☐</x:v>
      </x:c>
      <x:c r="B358" s="11" t="n">
        <x:v>268</x:v>
      </x:c>
      <x:c r="C358" s="15" t="e">
        <x:f>HYPERLINK("https://pokecottage.com/pokemon-master-sets/cascoon","Cascoon")</x:f>
        <x:v>HYPERLINK is not implemented. linkLocation=https://pokecottage.com/pokemon-master-sets/cascoon, friendlyName=Cascoon</x:v>
      </x:c>
      <x:c r="D358" s="7" t="str">
        <x:v>Gen 3 • Hoenn</x:v>
      </x:c>
      <x:c r="E358" s="7"/>
      <x:c r="F358" s="7"/>
    </x:row>
    <x:row r="359" ht="25" customHeight="1">
      <x:c r="A359" s="14" t="str">
        <x:v>☐</x:v>
      </x:c>
      <x:c r="B359" s="12" t="n">
        <x:v>269</x:v>
      </x:c>
      <x:c r="C359" s="16" t="e">
        <x:f>HYPERLINK("https://pokecottage.com/pokemon-master-sets/dustox","Dustox")</x:f>
        <x:v>HYPERLINK is not implemented. linkLocation=https://pokecottage.com/pokemon-master-sets/dustox, friendlyName=Dustox</x:v>
      </x:c>
      <x:c r="D359" s="8" t="str">
        <x:v>Gen 3 • Hoenn</x:v>
      </x:c>
      <x:c r="E359" s="8"/>
      <x:c r="F359" s="8"/>
    </x:row>
    <x:row r="360" ht="25" customHeight="1">
      <x:c r="A360" s="13" t="str">
        <x:v>☐</x:v>
      </x:c>
      <x:c r="B360" s="11" t="n">
        <x:v>270</x:v>
      </x:c>
      <x:c r="C360" s="15" t="e">
        <x:f>HYPERLINK("https://pokecottage.com/pokemon-master-sets/lotad","Lotad")</x:f>
        <x:v>HYPERLINK is not implemented. linkLocation=https://pokecottage.com/pokemon-master-sets/lotad, friendlyName=Lotad</x:v>
      </x:c>
      <x:c r="D360" s="7" t="str">
        <x:v>Gen 3 • Hoenn</x:v>
      </x:c>
      <x:c r="E360" s="7"/>
      <x:c r="F360" s="7"/>
    </x:row>
    <x:row r="361" ht="25" customHeight="1">
      <x:c r="A361" s="14" t="str">
        <x:v>☐</x:v>
      </x:c>
      <x:c r="B361" s="12" t="n">
        <x:v>271</x:v>
      </x:c>
      <x:c r="C361" s="16" t="e">
        <x:f>HYPERLINK("https://pokecottage.com/pokemon-master-sets/lombre","Lombre")</x:f>
        <x:v>HYPERLINK is not implemented. linkLocation=https://pokecottage.com/pokemon-master-sets/lombre, friendlyName=Lombre</x:v>
      </x:c>
      <x:c r="D361" s="8" t="str">
        <x:v>Gen 3 • Hoenn</x:v>
      </x:c>
      <x:c r="E361" s="8"/>
      <x:c r="F361" s="8"/>
    </x:row>
    <x:row r="362" ht="25" customHeight="1">
      <x:c r="A362" s="13" t="str">
        <x:v>☐</x:v>
      </x:c>
      <x:c r="B362" s="11" t="n">
        <x:v>272</x:v>
      </x:c>
      <x:c r="C362" s="15" t="e">
        <x:f>HYPERLINK("https://pokecottage.com/pokemon-master-sets/ludicolo","Ludicolo")</x:f>
        <x:v>HYPERLINK is not implemented. linkLocation=https://pokecottage.com/pokemon-master-sets/ludicolo, friendlyName=Ludicolo</x:v>
      </x:c>
      <x:c r="D362" s="7" t="str">
        <x:v>Gen 3 • Hoenn</x:v>
      </x:c>
      <x:c r="E362" s="7"/>
      <x:c r="F362" s="7"/>
    </x:row>
    <x:row r="363" ht="25" customHeight="1">
      <x:c r="A363" s="14" t="str">
        <x:v>☐</x:v>
      </x:c>
      <x:c r="B363" s="12" t="n">
        <x:v>273</x:v>
      </x:c>
      <x:c r="C363" s="16" t="e">
        <x:f>HYPERLINK("https://pokecottage.com/pokemon-master-sets/seedot","Seedot")</x:f>
        <x:v>HYPERLINK is not implemented. linkLocation=https://pokecottage.com/pokemon-master-sets/seedot, friendlyName=Seedot</x:v>
      </x:c>
      <x:c r="D363" s="8" t="str">
        <x:v>Gen 3 • Hoenn</x:v>
      </x:c>
      <x:c r="E363" s="8"/>
      <x:c r="F363" s="8"/>
    </x:row>
    <x:row r="364" ht="25" customHeight="1">
      <x:c r="A364" s="13" t="str">
        <x:v>☐</x:v>
      </x:c>
      <x:c r="B364" s="11" t="n">
        <x:v>274</x:v>
      </x:c>
      <x:c r="C364" s="15" t="e">
        <x:f>HYPERLINK("https://pokecottage.com/pokemon-master-sets/nuzleaf","Nuzleaf")</x:f>
        <x:v>HYPERLINK is not implemented. linkLocation=https://pokecottage.com/pokemon-master-sets/nuzleaf, friendlyName=Nuzleaf</x:v>
      </x:c>
      <x:c r="D364" s="7" t="str">
        <x:v>Gen 3 • Hoenn</x:v>
      </x:c>
      <x:c r="E364" s="7"/>
      <x:c r="F364" s="7"/>
    </x:row>
    <x:row r="365" ht="25" customHeight="1">
      <x:c r="A365" s="14" t="str">
        <x:v>☐</x:v>
      </x:c>
      <x:c r="B365" s="12" t="n">
        <x:v>275</x:v>
      </x:c>
      <x:c r="C365" s="16" t="e">
        <x:f>HYPERLINK("https://pokecottage.com/pokemon-master-sets/shiftry","Shiftry")</x:f>
        <x:v>HYPERLINK is not implemented. linkLocation=https://pokecottage.com/pokemon-master-sets/shiftry, friendlyName=Shiftry</x:v>
      </x:c>
      <x:c r="D365" s="8" t="str">
        <x:v>Gen 3 • Hoenn</x:v>
      </x:c>
      <x:c r="E365" s="8"/>
      <x:c r="F365" s="8"/>
    </x:row>
    <x:row r="366" ht="25" customHeight="1">
      <x:c r="A366" s="13" t="str">
        <x:v>☐</x:v>
      </x:c>
      <x:c r="B366" s="11" t="n">
        <x:v>276</x:v>
      </x:c>
      <x:c r="C366" s="15" t="e">
        <x:f>HYPERLINK("https://pokecottage.com/pokemon-master-sets/taillow","Taillow")</x:f>
        <x:v>HYPERLINK is not implemented. linkLocation=https://pokecottage.com/pokemon-master-sets/taillow, friendlyName=Taillow</x:v>
      </x:c>
      <x:c r="D366" s="7" t="str">
        <x:v>Gen 3 • Hoenn</x:v>
      </x:c>
      <x:c r="E366" s="7"/>
      <x:c r="F366" s="7"/>
    </x:row>
    <x:row r="367" ht="25" customHeight="1">
      <x:c r="A367" s="14" t="str">
        <x:v>☐</x:v>
      </x:c>
      <x:c r="B367" s="12" t="n">
        <x:v>277</x:v>
      </x:c>
      <x:c r="C367" s="16" t="e">
        <x:f>HYPERLINK("https://pokecottage.com/pokemon-master-sets/swellow","Swellow")</x:f>
        <x:v>HYPERLINK is not implemented. linkLocation=https://pokecottage.com/pokemon-master-sets/swellow, friendlyName=Swellow</x:v>
      </x:c>
      <x:c r="D367" s="8" t="str">
        <x:v>Gen 3 • Hoenn</x:v>
      </x:c>
      <x:c r="E367" s="8"/>
      <x:c r="F367" s="8"/>
    </x:row>
    <x:row r="368" ht="25" customHeight="1">
      <x:c r="A368" s="13" t="str">
        <x:v>☐</x:v>
      </x:c>
      <x:c r="B368" s="11" t="n">
        <x:v>278</x:v>
      </x:c>
      <x:c r="C368" s="15" t="e">
        <x:f>HYPERLINK("https://pokecottage.com/pokemon-master-sets/wingull","Wingull")</x:f>
        <x:v>HYPERLINK is not implemented. linkLocation=https://pokecottage.com/pokemon-master-sets/wingull, friendlyName=Wingull</x:v>
      </x:c>
      <x:c r="D368" s="7" t="str">
        <x:v>Gen 3 • Hoenn</x:v>
      </x:c>
      <x:c r="E368" s="7"/>
      <x:c r="F368" s="7"/>
    </x:row>
    <x:row r="369" ht="25" customHeight="1">
      <x:c r="A369" s="14" t="str">
        <x:v>☐</x:v>
      </x:c>
      <x:c r="B369" s="12" t="n">
        <x:v>279</x:v>
      </x:c>
      <x:c r="C369" s="16" t="e">
        <x:f>HYPERLINK("https://pokecottage.com/pokemon-master-sets/pelipper","Pelipper")</x:f>
        <x:v>HYPERLINK is not implemented. linkLocation=https://pokecottage.com/pokemon-master-sets/pelipper, friendlyName=Pelipper</x:v>
      </x:c>
      <x:c r="D369" s="8" t="str">
        <x:v>Gen 3 • Hoenn</x:v>
      </x:c>
      <x:c r="E369" s="8"/>
      <x:c r="F369" s="8"/>
    </x:row>
    <x:row r="370" ht="25" customHeight="1">
      <x:c r="A370" s="13" t="str">
        <x:v>☐</x:v>
      </x:c>
      <x:c r="B370" s="11" t="n">
        <x:v>280</x:v>
      </x:c>
      <x:c r="C370" s="15" t="e">
        <x:f>HYPERLINK("https://pokecottage.com/pokemon-master-sets/ralts","Ralts")</x:f>
        <x:v>HYPERLINK is not implemented. linkLocation=https://pokecottage.com/pokemon-master-sets/ralts, friendlyName=Ralts</x:v>
      </x:c>
      <x:c r="D370" s="7" t="str">
        <x:v>Gen 3 • Hoenn</x:v>
      </x:c>
      <x:c r="E370" s="7"/>
      <x:c r="F370" s="7"/>
    </x:row>
    <x:row r="371" ht="25" customHeight="1">
      <x:c r="A371" s="14" t="str">
        <x:v>☐</x:v>
      </x:c>
      <x:c r="B371" s="12" t="n">
        <x:v>281</x:v>
      </x:c>
      <x:c r="C371" s="16" t="e">
        <x:f>HYPERLINK("https://pokecottage.com/pokemon-master-sets/kirlia","Kirlia")</x:f>
        <x:v>HYPERLINK is not implemented. linkLocation=https://pokecottage.com/pokemon-master-sets/kirlia, friendlyName=Kirlia</x:v>
      </x:c>
      <x:c r="D371" s="8" t="str">
        <x:v>Gen 3 • Hoenn</x:v>
      </x:c>
      <x:c r="E371" s="8"/>
      <x:c r="F371" s="8"/>
    </x:row>
    <x:row r="372" ht="25" customHeight="1">
      <x:c r="A372" s="13" t="str">
        <x:v>☐</x:v>
      </x:c>
      <x:c r="B372" s="11" t="n">
        <x:v>282</x:v>
      </x:c>
      <x:c r="C372" s="15" t="e">
        <x:f>HYPERLINK("https://pokecottage.com/pokemon-master-sets/gardevoir","Gardevoir")</x:f>
        <x:v>HYPERLINK is not implemented. linkLocation=https://pokecottage.com/pokemon-master-sets/gardevoir, friendlyName=Gardevoir</x:v>
      </x:c>
      <x:c r="D372" s="7" t="str">
        <x:v>Gen 3 • Hoenn</x:v>
      </x:c>
      <x:c r="E372" s="7"/>
      <x:c r="F372" s="7"/>
    </x:row>
    <x:row r="373" ht="25" customHeight="1">
      <x:c r="A373" s="14" t="str">
        <x:v>☐</x:v>
      </x:c>
      <x:c r="B373" s="12" t="n">
        <x:v>282</x:v>
      </x:c>
      <x:c r="C373" s="16" t="e">
        <x:f>HYPERLINK("https://pokecottage.com/pokemon-master-sets/gardevoir","Mega Gardevoir")</x:f>
        <x:v>HYPERLINK is not implemented. linkLocation=https://pokecottage.com/pokemon-master-sets/gardevoir, friendlyName=Mega Gardevoir</x:v>
      </x:c>
      <x:c r="D373" s="8" t="str">
        <x:v>Mega Evolution</x:v>
      </x:c>
      <x:c r="E373" s="8"/>
      <x:c r="F373" s="8"/>
    </x:row>
    <x:row r="374" ht="25" customHeight="1">
      <x:c r="A374" s="13" t="str">
        <x:v>☐</x:v>
      </x:c>
      <x:c r="B374" s="11" t="n">
        <x:v>283</x:v>
      </x:c>
      <x:c r="C374" s="15" t="e">
        <x:f>HYPERLINK("https://pokecottage.com/pokemon-master-sets/surskit","Surskit")</x:f>
        <x:v>HYPERLINK is not implemented. linkLocation=https://pokecottage.com/pokemon-master-sets/surskit, friendlyName=Surskit</x:v>
      </x:c>
      <x:c r="D374" s="7" t="str">
        <x:v>Gen 3 • Hoenn</x:v>
      </x:c>
      <x:c r="E374" s="7"/>
      <x:c r="F374" s="7"/>
    </x:row>
    <x:row r="375" ht="25" customHeight="1">
      <x:c r="A375" s="14" t="str">
        <x:v>☐</x:v>
      </x:c>
      <x:c r="B375" s="12" t="n">
        <x:v>284</x:v>
      </x:c>
      <x:c r="C375" s="16" t="e">
        <x:f>HYPERLINK("https://pokecottage.com/pokemon-master-sets/masquerain","Masquerain")</x:f>
        <x:v>HYPERLINK is not implemented. linkLocation=https://pokecottage.com/pokemon-master-sets/masquerain, friendlyName=Masquerain</x:v>
      </x:c>
      <x:c r="D375" s="8" t="str">
        <x:v>Gen 3 • Hoenn</x:v>
      </x:c>
      <x:c r="E375" s="8"/>
      <x:c r="F375" s="8"/>
    </x:row>
    <x:row r="376" ht="25" customHeight="1">
      <x:c r="A376" s="13" t="str">
        <x:v>☐</x:v>
      </x:c>
      <x:c r="B376" s="11" t="n">
        <x:v>285</x:v>
      </x:c>
      <x:c r="C376" s="15" t="e">
        <x:f>HYPERLINK("https://pokecottage.com/pokemon-master-sets/shroomish","Shroomish")</x:f>
        <x:v>HYPERLINK is not implemented. linkLocation=https://pokecottage.com/pokemon-master-sets/shroomish, friendlyName=Shroomish</x:v>
      </x:c>
      <x:c r="D376" s="7" t="str">
        <x:v>Gen 3 • Hoenn</x:v>
      </x:c>
      <x:c r="E376" s="7"/>
      <x:c r="F376" s="7"/>
    </x:row>
    <x:row r="377" ht="25" customHeight="1">
      <x:c r="A377" s="14" t="str">
        <x:v>☐</x:v>
      </x:c>
      <x:c r="B377" s="12" t="n">
        <x:v>286</x:v>
      </x:c>
      <x:c r="C377" s="16" t="e">
        <x:f>HYPERLINK("https://pokecottage.com/pokemon-master-sets/breloom","Breloom")</x:f>
        <x:v>HYPERLINK is not implemented. linkLocation=https://pokecottage.com/pokemon-master-sets/breloom, friendlyName=Breloom</x:v>
      </x:c>
      <x:c r="D377" s="8" t="str">
        <x:v>Gen 3 • Hoenn</x:v>
      </x:c>
      <x:c r="E377" s="8"/>
      <x:c r="F377" s="8"/>
    </x:row>
    <x:row r="378" ht="25" customHeight="1">
      <x:c r="A378" s="13" t="str">
        <x:v>☐</x:v>
      </x:c>
      <x:c r="B378" s="11" t="n">
        <x:v>287</x:v>
      </x:c>
      <x:c r="C378" s="15" t="e">
        <x:f>HYPERLINK("https://pokecottage.com/pokemon-master-sets/slakoth","Slakoth")</x:f>
        <x:v>HYPERLINK is not implemented. linkLocation=https://pokecottage.com/pokemon-master-sets/slakoth, friendlyName=Slakoth</x:v>
      </x:c>
      <x:c r="D378" s="7" t="str">
        <x:v>Gen 3 • Hoenn</x:v>
      </x:c>
      <x:c r="E378" s="7"/>
      <x:c r="F378" s="7"/>
    </x:row>
    <x:row r="379" ht="25" customHeight="1">
      <x:c r="A379" s="14" t="str">
        <x:v>☐</x:v>
      </x:c>
      <x:c r="B379" s="12" t="n">
        <x:v>288</x:v>
      </x:c>
      <x:c r="C379" s="16" t="e">
        <x:f>HYPERLINK("https://pokecottage.com/pokemon-master-sets/vigoroth","Vigoroth")</x:f>
        <x:v>HYPERLINK is not implemented. linkLocation=https://pokecottage.com/pokemon-master-sets/vigoroth, friendlyName=Vigoroth</x:v>
      </x:c>
      <x:c r="D379" s="8" t="str">
        <x:v>Gen 3 • Hoenn</x:v>
      </x:c>
      <x:c r="E379" s="8"/>
      <x:c r="F379" s="8"/>
    </x:row>
    <x:row r="380" ht="25" customHeight="1">
      <x:c r="A380" s="13" t="str">
        <x:v>☐</x:v>
      </x:c>
      <x:c r="B380" s="11" t="n">
        <x:v>289</x:v>
      </x:c>
      <x:c r="C380" s="15" t="e">
        <x:f>HYPERLINK("https://pokecottage.com/pokemon-master-sets/slaking","Slaking")</x:f>
        <x:v>HYPERLINK is not implemented. linkLocation=https://pokecottage.com/pokemon-master-sets/slaking, friendlyName=Slaking</x:v>
      </x:c>
      <x:c r="D380" s="7" t="str">
        <x:v>Gen 3 • Hoenn</x:v>
      </x:c>
      <x:c r="E380" s="7"/>
      <x:c r="F380" s="7"/>
    </x:row>
    <x:row r="381" ht="25" customHeight="1">
      <x:c r="A381" s="14" t="str">
        <x:v>☐</x:v>
      </x:c>
      <x:c r="B381" s="12" t="n">
        <x:v>290</x:v>
      </x:c>
      <x:c r="C381" s="16" t="e">
        <x:f>HYPERLINK("https://pokecottage.com/pokemon-master-sets/nincada","Nincada")</x:f>
        <x:v>HYPERLINK is not implemented. linkLocation=https://pokecottage.com/pokemon-master-sets/nincada, friendlyName=Nincada</x:v>
      </x:c>
      <x:c r="D381" s="8" t="str">
        <x:v>Gen 3 • Hoenn</x:v>
      </x:c>
      <x:c r="E381" s="8"/>
      <x:c r="F381" s="8"/>
    </x:row>
    <x:row r="382" ht="25" customHeight="1">
      <x:c r="A382" s="13" t="str">
        <x:v>☐</x:v>
      </x:c>
      <x:c r="B382" s="11" t="n">
        <x:v>291</x:v>
      </x:c>
      <x:c r="C382" s="15" t="e">
        <x:f>HYPERLINK("https://pokecottage.com/pokemon-master-sets/ninjask","Ninjask")</x:f>
        <x:v>HYPERLINK is not implemented. linkLocation=https://pokecottage.com/pokemon-master-sets/ninjask, friendlyName=Ninjask</x:v>
      </x:c>
      <x:c r="D382" s="7" t="str">
        <x:v>Gen 3 • Hoenn</x:v>
      </x:c>
      <x:c r="E382" s="7"/>
      <x:c r="F382" s="7"/>
    </x:row>
    <x:row r="383" ht="25" customHeight="1">
      <x:c r="A383" s="14" t="str">
        <x:v>☐</x:v>
      </x:c>
      <x:c r="B383" s="12" t="n">
        <x:v>292</x:v>
      </x:c>
      <x:c r="C383" s="16" t="e">
        <x:f>HYPERLINK("https://pokecottage.com/pokemon-master-sets/shedinja","Shedinja")</x:f>
        <x:v>HYPERLINK is not implemented. linkLocation=https://pokecottage.com/pokemon-master-sets/shedinja, friendlyName=Shedinja</x:v>
      </x:c>
      <x:c r="D383" s="8" t="str">
        <x:v>Gen 3 • Hoenn</x:v>
      </x:c>
      <x:c r="E383" s="8"/>
      <x:c r="F383" s="8"/>
    </x:row>
    <x:row r="384" ht="25" customHeight="1">
      <x:c r="A384" s="13" t="str">
        <x:v>☐</x:v>
      </x:c>
      <x:c r="B384" s="11" t="n">
        <x:v>293</x:v>
      </x:c>
      <x:c r="C384" s="15" t="e">
        <x:f>HYPERLINK("https://pokecottage.com/pokemon-master-sets/whismur","Whismur")</x:f>
        <x:v>HYPERLINK is not implemented. linkLocation=https://pokecottage.com/pokemon-master-sets/whismur, friendlyName=Whismur</x:v>
      </x:c>
      <x:c r="D384" s="7" t="str">
        <x:v>Gen 3 • Hoenn</x:v>
      </x:c>
      <x:c r="E384" s="7"/>
      <x:c r="F384" s="7"/>
    </x:row>
    <x:row r="385" ht="25" customHeight="1">
      <x:c r="A385" s="14" t="str">
        <x:v>☐</x:v>
      </x:c>
      <x:c r="B385" s="12" t="n">
        <x:v>294</x:v>
      </x:c>
      <x:c r="C385" s="16" t="e">
        <x:f>HYPERLINK("https://pokecottage.com/pokemon-master-sets/loudred","Loudred")</x:f>
        <x:v>HYPERLINK is not implemented. linkLocation=https://pokecottage.com/pokemon-master-sets/loudred, friendlyName=Loudred</x:v>
      </x:c>
      <x:c r="D385" s="8" t="str">
        <x:v>Gen 3 • Hoenn</x:v>
      </x:c>
      <x:c r="E385" s="8"/>
      <x:c r="F385" s="8"/>
    </x:row>
    <x:row r="386" ht="25" customHeight="1">
      <x:c r="A386" s="13" t="str">
        <x:v>☐</x:v>
      </x:c>
      <x:c r="B386" s="11" t="n">
        <x:v>295</x:v>
      </x:c>
      <x:c r="C386" s="15" t="e">
        <x:f>HYPERLINK("https://pokecottage.com/pokemon-master-sets/exploud","Exploud")</x:f>
        <x:v>HYPERLINK is not implemented. linkLocation=https://pokecottage.com/pokemon-master-sets/exploud, friendlyName=Exploud</x:v>
      </x:c>
      <x:c r="D386" s="7" t="str">
        <x:v>Gen 3 • Hoenn</x:v>
      </x:c>
      <x:c r="E386" s="7"/>
      <x:c r="F386" s="7"/>
    </x:row>
    <x:row r="387" ht="25" customHeight="1">
      <x:c r="A387" s="14" t="str">
        <x:v>☐</x:v>
      </x:c>
      <x:c r="B387" s="12" t="n">
        <x:v>296</x:v>
      </x:c>
      <x:c r="C387" s="16" t="e">
        <x:f>HYPERLINK("https://pokecottage.com/pokemon-master-sets/makuhita","Makuhita")</x:f>
        <x:v>HYPERLINK is not implemented. linkLocation=https://pokecottage.com/pokemon-master-sets/makuhita, friendlyName=Makuhita</x:v>
      </x:c>
      <x:c r="D387" s="8" t="str">
        <x:v>Gen 3 • Hoenn</x:v>
      </x:c>
      <x:c r="E387" s="8"/>
      <x:c r="F387" s="8"/>
    </x:row>
    <x:row r="388" ht="25" customHeight="1">
      <x:c r="A388" s="13" t="str">
        <x:v>☐</x:v>
      </x:c>
      <x:c r="B388" s="11" t="n">
        <x:v>297</x:v>
      </x:c>
      <x:c r="C388" s="15" t="e">
        <x:f>HYPERLINK("https://pokecottage.com/pokemon-master-sets/hariyama","Hariyama")</x:f>
        <x:v>HYPERLINK is not implemented. linkLocation=https://pokecottage.com/pokemon-master-sets/hariyama, friendlyName=Hariyama</x:v>
      </x:c>
      <x:c r="D388" s="7" t="str">
        <x:v>Gen 3 • Hoenn</x:v>
      </x:c>
      <x:c r="E388" s="7"/>
      <x:c r="F388" s="7"/>
    </x:row>
    <x:row r="389" ht="25" customHeight="1">
      <x:c r="A389" s="14" t="str">
        <x:v>☐</x:v>
      </x:c>
      <x:c r="B389" s="12" t="n">
        <x:v>298</x:v>
      </x:c>
      <x:c r="C389" s="16" t="e">
        <x:f>HYPERLINK("https://pokecottage.com/pokemon-master-sets/azurill","Azurill")</x:f>
        <x:v>HYPERLINK is not implemented. linkLocation=https://pokecottage.com/pokemon-master-sets/azurill, friendlyName=Azurill</x:v>
      </x:c>
      <x:c r="D389" s="8" t="str">
        <x:v>Gen 3 • Hoenn</x:v>
      </x:c>
      <x:c r="E389" s="8"/>
      <x:c r="F389" s="8"/>
    </x:row>
    <x:row r="390" ht="25" customHeight="1">
      <x:c r="A390" s="13" t="str">
        <x:v>☐</x:v>
      </x:c>
      <x:c r="B390" s="11" t="n">
        <x:v>299</x:v>
      </x:c>
      <x:c r="C390" s="15" t="e">
        <x:f>HYPERLINK("https://pokecottage.com/pokemon-master-sets/nosepass","Nosepass")</x:f>
        <x:v>HYPERLINK is not implemented. linkLocation=https://pokecottage.com/pokemon-master-sets/nosepass, friendlyName=Nosepass</x:v>
      </x:c>
      <x:c r="D390" s="7" t="str">
        <x:v>Gen 3 • Hoenn</x:v>
      </x:c>
      <x:c r="E390" s="7"/>
      <x:c r="F390" s="7"/>
    </x:row>
    <x:row r="391" ht="25" customHeight="1">
      <x:c r="A391" s="14" t="str">
        <x:v>☐</x:v>
      </x:c>
      <x:c r="B391" s="12" t="n">
        <x:v>300</x:v>
      </x:c>
      <x:c r="C391" s="16" t="e">
        <x:f>HYPERLINK("https://pokecottage.com/pokemon-master-sets/skitty","Skitty")</x:f>
        <x:v>HYPERLINK is not implemented. linkLocation=https://pokecottage.com/pokemon-master-sets/skitty, friendlyName=Skitty</x:v>
      </x:c>
      <x:c r="D391" s="8" t="str">
        <x:v>Gen 3 • Hoenn</x:v>
      </x:c>
      <x:c r="E391" s="8"/>
      <x:c r="F391" s="8"/>
    </x:row>
    <x:row r="392" ht="25" customHeight="1">
      <x:c r="A392" s="13" t="str">
        <x:v>☐</x:v>
      </x:c>
      <x:c r="B392" s="11" t="n">
        <x:v>301</x:v>
      </x:c>
      <x:c r="C392" s="15" t="e">
        <x:f>HYPERLINK("https://pokecottage.com/pokemon-master-sets/delcatty","Delcatty")</x:f>
        <x:v>HYPERLINK is not implemented. linkLocation=https://pokecottage.com/pokemon-master-sets/delcatty, friendlyName=Delcatty</x:v>
      </x:c>
      <x:c r="D392" s="7" t="str">
        <x:v>Gen 3 • Hoenn</x:v>
      </x:c>
      <x:c r="E392" s="7"/>
      <x:c r="F392" s="7"/>
    </x:row>
    <x:row r="393" ht="25" customHeight="1">
      <x:c r="A393" s="14" t="str">
        <x:v>☐</x:v>
      </x:c>
      <x:c r="B393" s="12" t="n">
        <x:v>302</x:v>
      </x:c>
      <x:c r="C393" s="16" t="e">
        <x:f>HYPERLINK("https://pokecottage.com/pokemon-master-sets/sableye","Sableye")</x:f>
        <x:v>HYPERLINK is not implemented. linkLocation=https://pokecottage.com/pokemon-master-sets/sableye, friendlyName=Sableye</x:v>
      </x:c>
      <x:c r="D393" s="8" t="str">
        <x:v>Gen 3 • Hoenn</x:v>
      </x:c>
      <x:c r="E393" s="8"/>
      <x:c r="F393" s="8"/>
    </x:row>
    <x:row r="394" ht="25" customHeight="1">
      <x:c r="A394" s="13" t="str">
        <x:v>☐</x:v>
      </x:c>
      <x:c r="B394" s="11" t="n">
        <x:v>302</x:v>
      </x:c>
      <x:c r="C394" s="15" t="e">
        <x:f>HYPERLINK("https://pokecottage.com/pokemon-master-sets/sableye","Mega Sableye")</x:f>
        <x:v>HYPERLINK is not implemented. linkLocation=https://pokecottage.com/pokemon-master-sets/sableye, friendlyName=Mega Sableye</x:v>
      </x:c>
      <x:c r="D394" s="7" t="str">
        <x:v>Mega Evolution</x:v>
      </x:c>
      <x:c r="E394" s="7"/>
      <x:c r="F394" s="7"/>
    </x:row>
    <x:row r="395" ht="25" customHeight="1">
      <x:c r="A395" s="14" t="str">
        <x:v>☐</x:v>
      </x:c>
      <x:c r="B395" s="12" t="n">
        <x:v>303</x:v>
      </x:c>
      <x:c r="C395" s="16" t="e">
        <x:f>HYPERLINK("https://pokecottage.com/pokemon-master-sets/mawile","Mawile")</x:f>
        <x:v>HYPERLINK is not implemented. linkLocation=https://pokecottage.com/pokemon-master-sets/mawile, friendlyName=Mawile</x:v>
      </x:c>
      <x:c r="D395" s="8" t="str">
        <x:v>Gen 3 • Hoenn</x:v>
      </x:c>
      <x:c r="E395" s="8"/>
      <x:c r="F395" s="8"/>
    </x:row>
    <x:row r="396" ht="25" customHeight="1">
      <x:c r="A396" s="13" t="str">
        <x:v>☐</x:v>
      </x:c>
      <x:c r="B396" s="11" t="n">
        <x:v>303</x:v>
      </x:c>
      <x:c r="C396" s="15" t="e">
        <x:f>HYPERLINK("https://pokecottage.com/pokemon-master-sets/mawile","Mega Mawile")</x:f>
        <x:v>HYPERLINK is not implemented. linkLocation=https://pokecottage.com/pokemon-master-sets/mawile, friendlyName=Mega Mawile</x:v>
      </x:c>
      <x:c r="D396" s="7" t="str">
        <x:v>Mega Evolution</x:v>
      </x:c>
      <x:c r="E396" s="7"/>
      <x:c r="F396" s="7"/>
    </x:row>
    <x:row r="397" ht="25" customHeight="1">
      <x:c r="A397" s="14" t="str">
        <x:v>☐</x:v>
      </x:c>
      <x:c r="B397" s="12" t="n">
        <x:v>304</x:v>
      </x:c>
      <x:c r="C397" s="16" t="e">
        <x:f>HYPERLINK("https://pokecottage.com/pokemon-master-sets/aron","Aron")</x:f>
        <x:v>HYPERLINK is not implemented. linkLocation=https://pokecottage.com/pokemon-master-sets/aron, friendlyName=Aron</x:v>
      </x:c>
      <x:c r="D397" s="8" t="str">
        <x:v>Gen 3 • Hoenn</x:v>
      </x:c>
      <x:c r="E397" s="8"/>
      <x:c r="F397" s="8"/>
    </x:row>
    <x:row r="398" ht="25" customHeight="1">
      <x:c r="A398" s="13" t="str">
        <x:v>☐</x:v>
      </x:c>
      <x:c r="B398" s="11" t="n">
        <x:v>305</x:v>
      </x:c>
      <x:c r="C398" s="15" t="e">
        <x:f>HYPERLINK("https://pokecottage.com/pokemon-master-sets/lairon","Lairon")</x:f>
        <x:v>HYPERLINK is not implemented. linkLocation=https://pokecottage.com/pokemon-master-sets/lairon, friendlyName=Lairon</x:v>
      </x:c>
      <x:c r="D398" s="7" t="str">
        <x:v>Gen 3 • Hoenn</x:v>
      </x:c>
      <x:c r="E398" s="7"/>
      <x:c r="F398" s="7"/>
    </x:row>
    <x:row r="399" ht="25" customHeight="1">
      <x:c r="A399" s="14" t="str">
        <x:v>☐</x:v>
      </x:c>
      <x:c r="B399" s="12" t="n">
        <x:v>306</x:v>
      </x:c>
      <x:c r="C399" s="16" t="e">
        <x:f>HYPERLINK("https://pokecottage.com/pokemon-master-sets/aggron","Aggron")</x:f>
        <x:v>HYPERLINK is not implemented. linkLocation=https://pokecottage.com/pokemon-master-sets/aggron, friendlyName=Aggron</x:v>
      </x:c>
      <x:c r="D399" s="8" t="str">
        <x:v>Gen 3 • Hoenn</x:v>
      </x:c>
      <x:c r="E399" s="8"/>
      <x:c r="F399" s="8"/>
    </x:row>
    <x:row r="400" ht="25" customHeight="1">
      <x:c r="A400" s="13" t="str">
        <x:v>☐</x:v>
      </x:c>
      <x:c r="B400" s="11" t="n">
        <x:v>306</x:v>
      </x:c>
      <x:c r="C400" s="15" t="e">
        <x:f>HYPERLINK("https://pokecottage.com/pokemon-master-sets/aggron","Mega Aggron")</x:f>
        <x:v>HYPERLINK is not implemented. linkLocation=https://pokecottage.com/pokemon-master-sets/aggron, friendlyName=Mega Aggron</x:v>
      </x:c>
      <x:c r="D400" s="7" t="str">
        <x:v>Mega Evolution</x:v>
      </x:c>
      <x:c r="E400" s="7"/>
      <x:c r="F400" s="7"/>
    </x:row>
    <x:row r="401" ht="25" customHeight="1">
      <x:c r="A401" s="14" t="str">
        <x:v>☐</x:v>
      </x:c>
      <x:c r="B401" s="12" t="n">
        <x:v>307</x:v>
      </x:c>
      <x:c r="C401" s="16" t="e">
        <x:f>HYPERLINK("https://pokecottage.com/pokemon-master-sets/meditite","Meditite")</x:f>
        <x:v>HYPERLINK is not implemented. linkLocation=https://pokecottage.com/pokemon-master-sets/meditite, friendlyName=Meditite</x:v>
      </x:c>
      <x:c r="D401" s="8" t="str">
        <x:v>Gen 3 • Hoenn</x:v>
      </x:c>
      <x:c r="E401" s="8"/>
      <x:c r="F401" s="8"/>
    </x:row>
    <x:row r="402" ht="25" customHeight="1">
      <x:c r="A402" s="13" t="str">
        <x:v>☐</x:v>
      </x:c>
      <x:c r="B402" s="11" t="n">
        <x:v>308</x:v>
      </x:c>
      <x:c r="C402" s="15" t="e">
        <x:f>HYPERLINK("https://pokecottage.com/pokemon-master-sets/medicham","Medicham")</x:f>
        <x:v>HYPERLINK is not implemented. linkLocation=https://pokecottage.com/pokemon-master-sets/medicham, friendlyName=Medicham</x:v>
      </x:c>
      <x:c r="D402" s="7" t="str">
        <x:v>Gen 3 • Hoenn</x:v>
      </x:c>
      <x:c r="E402" s="7"/>
      <x:c r="F402" s="7"/>
    </x:row>
    <x:row r="403" ht="25" customHeight="1">
      <x:c r="A403" s="14" t="str">
        <x:v>☐</x:v>
      </x:c>
      <x:c r="B403" s="12" t="n">
        <x:v>308</x:v>
      </x:c>
      <x:c r="C403" s="16" t="e">
        <x:f>HYPERLINK("https://pokecottage.com/pokemon-master-sets/medicham","Mega Medicham")</x:f>
        <x:v>HYPERLINK is not implemented. linkLocation=https://pokecottage.com/pokemon-master-sets/medicham, friendlyName=Mega Medicham</x:v>
      </x:c>
      <x:c r="D403" s="8" t="str">
        <x:v>Mega Evolution</x:v>
      </x:c>
      <x:c r="E403" s="8"/>
      <x:c r="F403" s="8"/>
    </x:row>
    <x:row r="404" ht="25" customHeight="1">
      <x:c r="A404" s="13" t="str">
        <x:v>☐</x:v>
      </x:c>
      <x:c r="B404" s="11" t="n">
        <x:v>309</x:v>
      </x:c>
      <x:c r="C404" s="15" t="e">
        <x:f>HYPERLINK("https://pokecottage.com/pokemon-master-sets/electrike","Electrike")</x:f>
        <x:v>HYPERLINK is not implemented. linkLocation=https://pokecottage.com/pokemon-master-sets/electrike, friendlyName=Electrike</x:v>
      </x:c>
      <x:c r="D404" s="7" t="str">
        <x:v>Gen 3 • Hoenn</x:v>
      </x:c>
      <x:c r="E404" s="7"/>
      <x:c r="F404" s="7"/>
    </x:row>
    <x:row r="405" ht="25" customHeight="1">
      <x:c r="A405" s="14" t="str">
        <x:v>☐</x:v>
      </x:c>
      <x:c r="B405" s="12" t="n">
        <x:v>310</x:v>
      </x:c>
      <x:c r="C405" s="16" t="e">
        <x:f>HYPERLINK("https://pokecottage.com/pokemon-master-sets/manectric","Manectric")</x:f>
        <x:v>HYPERLINK is not implemented. linkLocation=https://pokecottage.com/pokemon-master-sets/manectric, friendlyName=Manectric</x:v>
      </x:c>
      <x:c r="D405" s="8" t="str">
        <x:v>Gen 3 • Hoenn</x:v>
      </x:c>
      <x:c r="E405" s="8"/>
      <x:c r="F405" s="8"/>
    </x:row>
    <x:row r="406" ht="25" customHeight="1">
      <x:c r="A406" s="13" t="str">
        <x:v>☐</x:v>
      </x:c>
      <x:c r="B406" s="11" t="n">
        <x:v>310</x:v>
      </x:c>
      <x:c r="C406" s="15" t="e">
        <x:f>HYPERLINK("https://pokecottage.com/pokemon-master-sets/manectric","Mega Manectric")</x:f>
        <x:v>HYPERLINK is not implemented. linkLocation=https://pokecottage.com/pokemon-master-sets/manectric, friendlyName=Mega Manectric</x:v>
      </x:c>
      <x:c r="D406" s="7" t="str">
        <x:v>Mega Evolution</x:v>
      </x:c>
      <x:c r="E406" s="7"/>
      <x:c r="F406" s="7"/>
    </x:row>
    <x:row r="407" ht="25" customHeight="1">
      <x:c r="A407" s="14" t="str">
        <x:v>☐</x:v>
      </x:c>
      <x:c r="B407" s="12" t="n">
        <x:v>311</x:v>
      </x:c>
      <x:c r="C407" s="16" t="e">
        <x:f>HYPERLINK("https://pokecottage.com/pokemon-master-sets/plusle","Plusle")</x:f>
        <x:v>HYPERLINK is not implemented. linkLocation=https://pokecottage.com/pokemon-master-sets/plusle, friendlyName=Plusle</x:v>
      </x:c>
      <x:c r="D407" s="8" t="str">
        <x:v>Gen 3 • Hoenn</x:v>
      </x:c>
      <x:c r="E407" s="8"/>
      <x:c r="F407" s="8"/>
    </x:row>
    <x:row r="408" ht="25" customHeight="1">
      <x:c r="A408" s="13" t="str">
        <x:v>☐</x:v>
      </x:c>
      <x:c r="B408" s="11" t="n">
        <x:v>312</x:v>
      </x:c>
      <x:c r="C408" s="15" t="e">
        <x:f>HYPERLINK("https://pokecottage.com/pokemon-master-sets/minun","Minun")</x:f>
        <x:v>HYPERLINK is not implemented. linkLocation=https://pokecottage.com/pokemon-master-sets/minun, friendlyName=Minun</x:v>
      </x:c>
      <x:c r="D408" s="7" t="str">
        <x:v>Gen 3 • Hoenn</x:v>
      </x:c>
      <x:c r="E408" s="7"/>
      <x:c r="F408" s="7"/>
    </x:row>
    <x:row r="409" ht="25" customHeight="1">
      <x:c r="A409" s="14" t="str">
        <x:v>☐</x:v>
      </x:c>
      <x:c r="B409" s="12" t="n">
        <x:v>313</x:v>
      </x:c>
      <x:c r="C409" s="16" t="e">
        <x:f>HYPERLINK("https://pokecottage.com/pokemon-master-sets/volbeat","Volbeat")</x:f>
        <x:v>HYPERLINK is not implemented. linkLocation=https://pokecottage.com/pokemon-master-sets/volbeat, friendlyName=Volbeat</x:v>
      </x:c>
      <x:c r="D409" s="8" t="str">
        <x:v>Gen 3 • Hoenn</x:v>
      </x:c>
      <x:c r="E409" s="8"/>
      <x:c r="F409" s="8"/>
    </x:row>
    <x:row r="410" ht="25" customHeight="1">
      <x:c r="A410" s="13" t="str">
        <x:v>☐</x:v>
      </x:c>
      <x:c r="B410" s="11" t="n">
        <x:v>314</x:v>
      </x:c>
      <x:c r="C410" s="15" t="e">
        <x:f>HYPERLINK("https://pokecottage.com/pokemon-master-sets/illumise","Illumise")</x:f>
        <x:v>HYPERLINK is not implemented. linkLocation=https://pokecottage.com/pokemon-master-sets/illumise, friendlyName=Illumise</x:v>
      </x:c>
      <x:c r="D410" s="7" t="str">
        <x:v>Gen 3 • Hoenn</x:v>
      </x:c>
      <x:c r="E410" s="7"/>
      <x:c r="F410" s="7"/>
    </x:row>
    <x:row r="411" ht="25" customHeight="1">
      <x:c r="A411" s="14" t="str">
        <x:v>☐</x:v>
      </x:c>
      <x:c r="B411" s="12" t="n">
        <x:v>315</x:v>
      </x:c>
      <x:c r="C411" s="16" t="e">
        <x:f>HYPERLINK("https://pokecottage.com/pokemon-master-sets/roselia","Roselia")</x:f>
        <x:v>HYPERLINK is not implemented. linkLocation=https://pokecottage.com/pokemon-master-sets/roselia, friendlyName=Roselia</x:v>
      </x:c>
      <x:c r="D411" s="8" t="str">
        <x:v>Gen 3 • Hoenn</x:v>
      </x:c>
      <x:c r="E411" s="8"/>
      <x:c r="F411" s="8"/>
    </x:row>
    <x:row r="412" ht="25" customHeight="1">
      <x:c r="A412" s="13" t="str">
        <x:v>☐</x:v>
      </x:c>
      <x:c r="B412" s="11" t="n">
        <x:v>316</x:v>
      </x:c>
      <x:c r="C412" s="15" t="e">
        <x:f>HYPERLINK("https://pokecottage.com/pokemon-master-sets/gulpin","Gulpin")</x:f>
        <x:v>HYPERLINK is not implemented. linkLocation=https://pokecottage.com/pokemon-master-sets/gulpin, friendlyName=Gulpin</x:v>
      </x:c>
      <x:c r="D412" s="7" t="str">
        <x:v>Gen 3 • Hoenn</x:v>
      </x:c>
      <x:c r="E412" s="7"/>
      <x:c r="F412" s="7"/>
    </x:row>
    <x:row r="413" ht="25" customHeight="1">
      <x:c r="A413" s="14" t="str">
        <x:v>☐</x:v>
      </x:c>
      <x:c r="B413" s="12" t="n">
        <x:v>317</x:v>
      </x:c>
      <x:c r="C413" s="16" t="e">
        <x:f>HYPERLINK("https://pokecottage.com/pokemon-master-sets/swalot","Swalot")</x:f>
        <x:v>HYPERLINK is not implemented. linkLocation=https://pokecottage.com/pokemon-master-sets/swalot, friendlyName=Swalot</x:v>
      </x:c>
      <x:c r="D413" s="8" t="str">
        <x:v>Gen 3 • Hoenn</x:v>
      </x:c>
      <x:c r="E413" s="8"/>
      <x:c r="F413" s="8"/>
    </x:row>
    <x:row r="414" ht="25" customHeight="1">
      <x:c r="A414" s="13" t="str">
        <x:v>☐</x:v>
      </x:c>
      <x:c r="B414" s="11" t="n">
        <x:v>318</x:v>
      </x:c>
      <x:c r="C414" s="15" t="e">
        <x:f>HYPERLINK("https://pokecottage.com/pokemon-master-sets/carvanha","Carvanha")</x:f>
        <x:v>HYPERLINK is not implemented. linkLocation=https://pokecottage.com/pokemon-master-sets/carvanha, friendlyName=Carvanha</x:v>
      </x:c>
      <x:c r="D414" s="7" t="str">
        <x:v>Gen 3 • Hoenn</x:v>
      </x:c>
      <x:c r="E414" s="7"/>
      <x:c r="F414" s="7"/>
    </x:row>
    <x:row r="415" ht="25" customHeight="1">
      <x:c r="A415" s="14" t="str">
        <x:v>☐</x:v>
      </x:c>
      <x:c r="B415" s="12" t="n">
        <x:v>319</x:v>
      </x:c>
      <x:c r="C415" s="16" t="e">
        <x:f>HYPERLINK("https://pokecottage.com/pokemon-master-sets/sharpedo","Sharpedo")</x:f>
        <x:v>HYPERLINK is not implemented. linkLocation=https://pokecottage.com/pokemon-master-sets/sharpedo, friendlyName=Sharpedo</x:v>
      </x:c>
      <x:c r="D415" s="8" t="str">
        <x:v>Gen 3 • Hoenn</x:v>
      </x:c>
      <x:c r="E415" s="8"/>
      <x:c r="F415" s="8"/>
    </x:row>
    <x:row r="416" ht="25" customHeight="1">
      <x:c r="A416" s="13" t="str">
        <x:v>☐</x:v>
      </x:c>
      <x:c r="B416" s="11" t="n">
        <x:v>319</x:v>
      </x:c>
      <x:c r="C416" s="15" t="e">
        <x:f>HYPERLINK("https://pokecottage.com/pokemon-master-sets/sharpedo","Mega Sharpedo")</x:f>
        <x:v>HYPERLINK is not implemented. linkLocation=https://pokecottage.com/pokemon-master-sets/sharpedo, friendlyName=Mega Sharpedo</x:v>
      </x:c>
      <x:c r="D416" s="7" t="str">
        <x:v>Mega Evolution</x:v>
      </x:c>
      <x:c r="E416" s="7"/>
      <x:c r="F416" s="7"/>
    </x:row>
    <x:row r="417" ht="25" customHeight="1">
      <x:c r="A417" s="14" t="str">
        <x:v>☐</x:v>
      </x:c>
      <x:c r="B417" s="12" t="n">
        <x:v>320</x:v>
      </x:c>
      <x:c r="C417" s="16" t="e">
        <x:f>HYPERLINK("https://pokecottage.com/pokemon-master-sets/wailmer","Wailmer")</x:f>
        <x:v>HYPERLINK is not implemented. linkLocation=https://pokecottage.com/pokemon-master-sets/wailmer, friendlyName=Wailmer</x:v>
      </x:c>
      <x:c r="D417" s="8" t="str">
        <x:v>Gen 3 • Hoenn</x:v>
      </x:c>
      <x:c r="E417" s="8"/>
      <x:c r="F417" s="8"/>
    </x:row>
    <x:row r="418" ht="25" customHeight="1">
      <x:c r="A418" s="13" t="str">
        <x:v>☐</x:v>
      </x:c>
      <x:c r="B418" s="11" t="n">
        <x:v>321</x:v>
      </x:c>
      <x:c r="C418" s="15" t="e">
        <x:f>HYPERLINK("https://pokecottage.com/pokemon-master-sets/wailord","Wailord")</x:f>
        <x:v>HYPERLINK is not implemented. linkLocation=https://pokecottage.com/pokemon-master-sets/wailord, friendlyName=Wailord</x:v>
      </x:c>
      <x:c r="D418" s="7" t="str">
        <x:v>Gen 3 • Hoenn</x:v>
      </x:c>
      <x:c r="E418" s="7"/>
      <x:c r="F418" s="7"/>
    </x:row>
    <x:row r="419" ht="25" customHeight="1">
      <x:c r="A419" s="14" t="str">
        <x:v>☐</x:v>
      </x:c>
      <x:c r="B419" s="12" t="n">
        <x:v>322</x:v>
      </x:c>
      <x:c r="C419" s="16" t="e">
        <x:f>HYPERLINK("https://pokecottage.com/pokemon-master-sets/numel","Numel")</x:f>
        <x:v>HYPERLINK is not implemented. linkLocation=https://pokecottage.com/pokemon-master-sets/numel, friendlyName=Numel</x:v>
      </x:c>
      <x:c r="D419" s="8" t="str">
        <x:v>Gen 3 • Hoenn</x:v>
      </x:c>
      <x:c r="E419" s="8"/>
      <x:c r="F419" s="8"/>
    </x:row>
    <x:row r="420" ht="25" customHeight="1">
      <x:c r="A420" s="13" t="str">
        <x:v>☐</x:v>
      </x:c>
      <x:c r="B420" s="11" t="n">
        <x:v>323</x:v>
      </x:c>
      <x:c r="C420" s="15" t="e">
        <x:f>HYPERLINK("https://pokecottage.com/pokemon-master-sets/camerupt","Camerupt")</x:f>
        <x:v>HYPERLINK is not implemented. linkLocation=https://pokecottage.com/pokemon-master-sets/camerupt, friendlyName=Camerupt</x:v>
      </x:c>
      <x:c r="D420" s="7" t="str">
        <x:v>Gen 3 • Hoenn</x:v>
      </x:c>
      <x:c r="E420" s="7"/>
      <x:c r="F420" s="7"/>
    </x:row>
    <x:row r="421" ht="25" customHeight="1">
      <x:c r="A421" s="14" t="str">
        <x:v>☐</x:v>
      </x:c>
      <x:c r="B421" s="12" t="n">
        <x:v>323</x:v>
      </x:c>
      <x:c r="C421" s="16" t="e">
        <x:f>HYPERLINK("https://pokecottage.com/pokemon-master-sets/camerupt","Mega Camerupt")</x:f>
        <x:v>HYPERLINK is not implemented. linkLocation=https://pokecottage.com/pokemon-master-sets/camerupt, friendlyName=Mega Camerupt</x:v>
      </x:c>
      <x:c r="D421" s="8" t="str">
        <x:v>Mega Evolution</x:v>
      </x:c>
      <x:c r="E421" s="8"/>
      <x:c r="F421" s="8"/>
    </x:row>
    <x:row r="422" ht="25" customHeight="1">
      <x:c r="A422" s="13" t="str">
        <x:v>☐</x:v>
      </x:c>
      <x:c r="B422" s="11" t="n">
        <x:v>324</x:v>
      </x:c>
      <x:c r="C422" s="15" t="e">
        <x:f>HYPERLINK("https://pokecottage.com/pokemon-master-sets/torkoal","Torkoal")</x:f>
        <x:v>HYPERLINK is not implemented. linkLocation=https://pokecottage.com/pokemon-master-sets/torkoal, friendlyName=Torkoal</x:v>
      </x:c>
      <x:c r="D422" s="7" t="str">
        <x:v>Gen 3 • Hoenn</x:v>
      </x:c>
      <x:c r="E422" s="7"/>
      <x:c r="F422" s="7"/>
    </x:row>
    <x:row r="423" ht="25" customHeight="1">
      <x:c r="A423" s="14" t="str">
        <x:v>☐</x:v>
      </x:c>
      <x:c r="B423" s="12" t="n">
        <x:v>325</x:v>
      </x:c>
      <x:c r="C423" s="16" t="e">
        <x:f>HYPERLINK("https://pokecottage.com/pokemon-master-sets/spoink","Spoink")</x:f>
        <x:v>HYPERLINK is not implemented. linkLocation=https://pokecottage.com/pokemon-master-sets/spoink, friendlyName=Spoink</x:v>
      </x:c>
      <x:c r="D423" s="8" t="str">
        <x:v>Gen 3 • Hoenn</x:v>
      </x:c>
      <x:c r="E423" s="8"/>
      <x:c r="F423" s="8"/>
    </x:row>
    <x:row r="424" ht="25" customHeight="1">
      <x:c r="A424" s="13" t="str">
        <x:v>☐</x:v>
      </x:c>
      <x:c r="B424" s="11" t="n">
        <x:v>326</x:v>
      </x:c>
      <x:c r="C424" s="15" t="e">
        <x:f>HYPERLINK("https://pokecottage.com/pokemon-master-sets/grumpig","Grumpig")</x:f>
        <x:v>HYPERLINK is not implemented. linkLocation=https://pokecottage.com/pokemon-master-sets/grumpig, friendlyName=Grumpig</x:v>
      </x:c>
      <x:c r="D424" s="7" t="str">
        <x:v>Gen 3 • Hoenn</x:v>
      </x:c>
      <x:c r="E424" s="7"/>
      <x:c r="F424" s="7"/>
    </x:row>
    <x:row r="425" ht="25" customHeight="1">
      <x:c r="A425" s="14" t="str">
        <x:v>☐</x:v>
      </x:c>
      <x:c r="B425" s="12" t="n">
        <x:v>327</x:v>
      </x:c>
      <x:c r="C425" s="16" t="e">
        <x:f>HYPERLINK("https://pokecottage.com/pokemon-master-sets/spinda","Spinda")</x:f>
        <x:v>HYPERLINK is not implemented. linkLocation=https://pokecottage.com/pokemon-master-sets/spinda, friendlyName=Spinda</x:v>
      </x:c>
      <x:c r="D425" s="8" t="str">
        <x:v>Gen 3 • Hoenn</x:v>
      </x:c>
      <x:c r="E425" s="8"/>
      <x:c r="F425" s="8"/>
    </x:row>
    <x:row r="426" ht="25" customHeight="1">
      <x:c r="A426" s="13" t="str">
        <x:v>☐</x:v>
      </x:c>
      <x:c r="B426" s="11" t="n">
        <x:v>328</x:v>
      </x:c>
      <x:c r="C426" s="15" t="e">
        <x:f>HYPERLINK("https://pokecottage.com/pokemon-master-sets/trapinch","Trapinch")</x:f>
        <x:v>HYPERLINK is not implemented. linkLocation=https://pokecottage.com/pokemon-master-sets/trapinch, friendlyName=Trapinch</x:v>
      </x:c>
      <x:c r="D426" s="7" t="str">
        <x:v>Gen 3 • Hoenn</x:v>
      </x:c>
      <x:c r="E426" s="7"/>
      <x:c r="F426" s="7"/>
    </x:row>
    <x:row r="427" ht="25" customHeight="1">
      <x:c r="A427" s="14" t="str">
        <x:v>☐</x:v>
      </x:c>
      <x:c r="B427" s="12" t="n">
        <x:v>329</x:v>
      </x:c>
      <x:c r="C427" s="16" t="e">
        <x:f>HYPERLINK("https://pokecottage.com/pokemon-master-sets/vibrava","Vibrava")</x:f>
        <x:v>HYPERLINK is not implemented. linkLocation=https://pokecottage.com/pokemon-master-sets/vibrava, friendlyName=Vibrava</x:v>
      </x:c>
      <x:c r="D427" s="8" t="str">
        <x:v>Gen 3 • Hoenn</x:v>
      </x:c>
      <x:c r="E427" s="8"/>
      <x:c r="F427" s="8"/>
    </x:row>
    <x:row r="428" ht="25" customHeight="1">
      <x:c r="A428" s="13" t="str">
        <x:v>☐</x:v>
      </x:c>
      <x:c r="B428" s="11" t="n">
        <x:v>330</x:v>
      </x:c>
      <x:c r="C428" s="15" t="e">
        <x:f>HYPERLINK("https://pokecottage.com/pokemon-master-sets/flygon","Flygon")</x:f>
        <x:v>HYPERLINK is not implemented. linkLocation=https://pokecottage.com/pokemon-master-sets/flygon, friendlyName=Flygon</x:v>
      </x:c>
      <x:c r="D428" s="7" t="str">
        <x:v>Gen 3 • Hoenn</x:v>
      </x:c>
      <x:c r="E428" s="7"/>
      <x:c r="F428" s="7"/>
    </x:row>
    <x:row r="429" ht="25" customHeight="1">
      <x:c r="A429" s="14" t="str">
        <x:v>☐</x:v>
      </x:c>
      <x:c r="B429" s="12" t="n">
        <x:v>331</x:v>
      </x:c>
      <x:c r="C429" s="16" t="e">
        <x:f>HYPERLINK("https://pokecottage.com/pokemon-master-sets/cacnea","Cacnea")</x:f>
        <x:v>HYPERLINK is not implemented. linkLocation=https://pokecottage.com/pokemon-master-sets/cacnea, friendlyName=Cacnea</x:v>
      </x:c>
      <x:c r="D429" s="8" t="str">
        <x:v>Gen 3 • Hoenn</x:v>
      </x:c>
      <x:c r="E429" s="8"/>
      <x:c r="F429" s="8"/>
    </x:row>
    <x:row r="430" ht="25" customHeight="1">
      <x:c r="A430" s="13" t="str">
        <x:v>☐</x:v>
      </x:c>
      <x:c r="B430" s="11" t="n">
        <x:v>332</x:v>
      </x:c>
      <x:c r="C430" s="15" t="e">
        <x:f>HYPERLINK("https://pokecottage.com/pokemon-master-sets/cacturne","Cacturne")</x:f>
        <x:v>HYPERLINK is not implemented. linkLocation=https://pokecottage.com/pokemon-master-sets/cacturne, friendlyName=Cacturne</x:v>
      </x:c>
      <x:c r="D430" s="7" t="str">
        <x:v>Gen 3 • Hoenn</x:v>
      </x:c>
      <x:c r="E430" s="7"/>
      <x:c r="F430" s="7"/>
    </x:row>
    <x:row r="431" ht="25" customHeight="1">
      <x:c r="A431" s="14" t="str">
        <x:v>☐</x:v>
      </x:c>
      <x:c r="B431" s="12" t="n">
        <x:v>333</x:v>
      </x:c>
      <x:c r="C431" s="16" t="e">
        <x:f>HYPERLINK("https://pokecottage.com/pokemon-master-sets/swablu","Swablu")</x:f>
        <x:v>HYPERLINK is not implemented. linkLocation=https://pokecottage.com/pokemon-master-sets/swablu, friendlyName=Swablu</x:v>
      </x:c>
      <x:c r="D431" s="8" t="str">
        <x:v>Gen 3 • Hoenn</x:v>
      </x:c>
      <x:c r="E431" s="8"/>
      <x:c r="F431" s="8"/>
    </x:row>
    <x:row r="432" ht="25" customHeight="1">
      <x:c r="A432" s="13" t="str">
        <x:v>☐</x:v>
      </x:c>
      <x:c r="B432" s="11" t="n">
        <x:v>334</x:v>
      </x:c>
      <x:c r="C432" s="15" t="e">
        <x:f>HYPERLINK("https://pokecottage.com/pokemon-master-sets/altaria","Altaria")</x:f>
        <x:v>HYPERLINK is not implemented. linkLocation=https://pokecottage.com/pokemon-master-sets/altaria, friendlyName=Altaria</x:v>
      </x:c>
      <x:c r="D432" s="7" t="str">
        <x:v>Gen 3 • Hoenn</x:v>
      </x:c>
      <x:c r="E432" s="7"/>
      <x:c r="F432" s="7"/>
    </x:row>
    <x:row r="433" ht="25" customHeight="1">
      <x:c r="A433" s="14" t="str">
        <x:v>☐</x:v>
      </x:c>
      <x:c r="B433" s="12" t="n">
        <x:v>334</x:v>
      </x:c>
      <x:c r="C433" s="16" t="e">
        <x:f>HYPERLINK("https://pokecottage.com/pokemon-master-sets/altaria","Mega Altaria")</x:f>
        <x:v>HYPERLINK is not implemented. linkLocation=https://pokecottage.com/pokemon-master-sets/altaria, friendlyName=Mega Altaria</x:v>
      </x:c>
      <x:c r="D433" s="8" t="str">
        <x:v>Mega Evolution</x:v>
      </x:c>
      <x:c r="E433" s="8"/>
      <x:c r="F433" s="8"/>
    </x:row>
    <x:row r="434" ht="25" customHeight="1">
      <x:c r="A434" s="13" t="str">
        <x:v>☐</x:v>
      </x:c>
      <x:c r="B434" s="11" t="n">
        <x:v>335</x:v>
      </x:c>
      <x:c r="C434" s="15" t="e">
        <x:f>HYPERLINK("https://pokecottage.com/pokemon-master-sets/zangoose","Zangoose")</x:f>
        <x:v>HYPERLINK is not implemented. linkLocation=https://pokecottage.com/pokemon-master-sets/zangoose, friendlyName=Zangoose</x:v>
      </x:c>
      <x:c r="D434" s="7" t="str">
        <x:v>Gen 3 • Hoenn</x:v>
      </x:c>
      <x:c r="E434" s="7"/>
      <x:c r="F434" s="7"/>
    </x:row>
    <x:row r="435" ht="25" customHeight="1">
      <x:c r="A435" s="14" t="str">
        <x:v>☐</x:v>
      </x:c>
      <x:c r="B435" s="12" t="n">
        <x:v>336</x:v>
      </x:c>
      <x:c r="C435" s="16" t="e">
        <x:f>HYPERLINK("https://pokecottage.com/pokemon-master-sets/seviper","Seviper")</x:f>
        <x:v>HYPERLINK is not implemented. linkLocation=https://pokecottage.com/pokemon-master-sets/seviper, friendlyName=Seviper</x:v>
      </x:c>
      <x:c r="D435" s="8" t="str">
        <x:v>Gen 3 • Hoenn</x:v>
      </x:c>
      <x:c r="E435" s="8"/>
      <x:c r="F435" s="8"/>
    </x:row>
    <x:row r="436" ht="25" customHeight="1">
      <x:c r="A436" s="13" t="str">
        <x:v>☐</x:v>
      </x:c>
      <x:c r="B436" s="11" t="n">
        <x:v>337</x:v>
      </x:c>
      <x:c r="C436" s="15" t="e">
        <x:f>HYPERLINK("https://pokecottage.com/pokemon-master-sets/lunatone","Lunatone")</x:f>
        <x:v>HYPERLINK is not implemented. linkLocation=https://pokecottage.com/pokemon-master-sets/lunatone, friendlyName=Lunatone</x:v>
      </x:c>
      <x:c r="D436" s="7" t="str">
        <x:v>Gen 3 • Hoenn</x:v>
      </x:c>
      <x:c r="E436" s="7"/>
      <x:c r="F436" s="7"/>
    </x:row>
    <x:row r="437" ht="25" customHeight="1">
      <x:c r="A437" s="14" t="str">
        <x:v>☐</x:v>
      </x:c>
      <x:c r="B437" s="12" t="n">
        <x:v>338</x:v>
      </x:c>
      <x:c r="C437" s="16" t="e">
        <x:f>HYPERLINK("https://pokecottage.com/pokemon-master-sets/solrock","Solrock")</x:f>
        <x:v>HYPERLINK is not implemented. linkLocation=https://pokecottage.com/pokemon-master-sets/solrock, friendlyName=Solrock</x:v>
      </x:c>
      <x:c r="D437" s="8" t="str">
        <x:v>Gen 3 • Hoenn</x:v>
      </x:c>
      <x:c r="E437" s="8"/>
      <x:c r="F437" s="8"/>
    </x:row>
    <x:row r="438" ht="25" customHeight="1">
      <x:c r="A438" s="13" t="str">
        <x:v>☐</x:v>
      </x:c>
      <x:c r="B438" s="11" t="n">
        <x:v>339</x:v>
      </x:c>
      <x:c r="C438" s="15" t="e">
        <x:f>HYPERLINK("https://pokecottage.com/pokemon-master-sets/barboach","Barboach")</x:f>
        <x:v>HYPERLINK is not implemented. linkLocation=https://pokecottage.com/pokemon-master-sets/barboach, friendlyName=Barboach</x:v>
      </x:c>
      <x:c r="D438" s="7" t="str">
        <x:v>Gen 3 • Hoenn</x:v>
      </x:c>
      <x:c r="E438" s="7"/>
      <x:c r="F438" s="7"/>
    </x:row>
    <x:row r="439" ht="25" customHeight="1">
      <x:c r="A439" s="14" t="str">
        <x:v>☐</x:v>
      </x:c>
      <x:c r="B439" s="12" t="n">
        <x:v>340</x:v>
      </x:c>
      <x:c r="C439" s="16" t="e">
        <x:f>HYPERLINK("https://pokecottage.com/pokemon-master-sets/whiscash","Whiscash")</x:f>
        <x:v>HYPERLINK is not implemented. linkLocation=https://pokecottage.com/pokemon-master-sets/whiscash, friendlyName=Whiscash</x:v>
      </x:c>
      <x:c r="D439" s="8" t="str">
        <x:v>Gen 3 • Hoenn</x:v>
      </x:c>
      <x:c r="E439" s="8"/>
      <x:c r="F439" s="8"/>
    </x:row>
    <x:row r="440" ht="25" customHeight="1">
      <x:c r="A440" s="13" t="str">
        <x:v>☐</x:v>
      </x:c>
      <x:c r="B440" s="11" t="n">
        <x:v>341</x:v>
      </x:c>
      <x:c r="C440" s="15" t="e">
        <x:f>HYPERLINK("https://pokecottage.com/pokemon-master-sets/corphish","Corphish")</x:f>
        <x:v>HYPERLINK is not implemented. linkLocation=https://pokecottage.com/pokemon-master-sets/corphish, friendlyName=Corphish</x:v>
      </x:c>
      <x:c r="D440" s="7" t="str">
        <x:v>Gen 3 • Hoenn</x:v>
      </x:c>
      <x:c r="E440" s="7"/>
      <x:c r="F440" s="7"/>
    </x:row>
    <x:row r="441" ht="25" customHeight="1">
      <x:c r="A441" s="14" t="str">
        <x:v>☐</x:v>
      </x:c>
      <x:c r="B441" s="12" t="n">
        <x:v>342</x:v>
      </x:c>
      <x:c r="C441" s="16" t="e">
        <x:f>HYPERLINK("https://pokecottage.com/pokemon-master-sets/crawdaunt","Crawdaunt")</x:f>
        <x:v>HYPERLINK is not implemented. linkLocation=https://pokecottage.com/pokemon-master-sets/crawdaunt, friendlyName=Crawdaunt</x:v>
      </x:c>
      <x:c r="D441" s="8" t="str">
        <x:v>Gen 3 • Hoenn</x:v>
      </x:c>
      <x:c r="E441" s="8"/>
      <x:c r="F441" s="8"/>
    </x:row>
    <x:row r="442" ht="25" customHeight="1">
      <x:c r="A442" s="13" t="str">
        <x:v>☐</x:v>
      </x:c>
      <x:c r="B442" s="11" t="n">
        <x:v>343</x:v>
      </x:c>
      <x:c r="C442" s="15" t="e">
        <x:f>HYPERLINK("https://pokecottage.com/pokemon-master-sets/baltoy","Baltoy")</x:f>
        <x:v>HYPERLINK is not implemented. linkLocation=https://pokecottage.com/pokemon-master-sets/baltoy, friendlyName=Baltoy</x:v>
      </x:c>
      <x:c r="D442" s="7" t="str">
        <x:v>Gen 3 • Hoenn</x:v>
      </x:c>
      <x:c r="E442" s="7"/>
      <x:c r="F442" s="7"/>
    </x:row>
    <x:row r="443" ht="25" customHeight="1">
      <x:c r="A443" s="14" t="str">
        <x:v>☐</x:v>
      </x:c>
      <x:c r="B443" s="12" t="n">
        <x:v>344</x:v>
      </x:c>
      <x:c r="C443" s="16" t="e">
        <x:f>HYPERLINK("https://pokecottage.com/pokemon-master-sets/claydol","Claydol")</x:f>
        <x:v>HYPERLINK is not implemented. linkLocation=https://pokecottage.com/pokemon-master-sets/claydol, friendlyName=Claydol</x:v>
      </x:c>
      <x:c r="D443" s="8" t="str">
        <x:v>Gen 3 • Hoenn</x:v>
      </x:c>
      <x:c r="E443" s="8"/>
      <x:c r="F443" s="8"/>
    </x:row>
    <x:row r="444" ht="25" customHeight="1">
      <x:c r="A444" s="13" t="str">
        <x:v>☐</x:v>
      </x:c>
      <x:c r="B444" s="11" t="n">
        <x:v>345</x:v>
      </x:c>
      <x:c r="C444" s="15" t="e">
        <x:f>HYPERLINK("https://pokecottage.com/pokemon-master-sets/lileep","Lileep")</x:f>
        <x:v>HYPERLINK is not implemented. linkLocation=https://pokecottage.com/pokemon-master-sets/lileep, friendlyName=Lileep</x:v>
      </x:c>
      <x:c r="D444" s="7" t="str">
        <x:v>Gen 3 • Hoenn</x:v>
      </x:c>
      <x:c r="E444" s="7"/>
      <x:c r="F444" s="7"/>
    </x:row>
    <x:row r="445" ht="25" customHeight="1">
      <x:c r="A445" s="14" t="str">
        <x:v>☐</x:v>
      </x:c>
      <x:c r="B445" s="12" t="n">
        <x:v>346</x:v>
      </x:c>
      <x:c r="C445" s="16" t="e">
        <x:f>HYPERLINK("https://pokecottage.com/pokemon-master-sets/cradily","Cradily")</x:f>
        <x:v>HYPERLINK is not implemented. linkLocation=https://pokecottage.com/pokemon-master-sets/cradily, friendlyName=Cradily</x:v>
      </x:c>
      <x:c r="D445" s="8" t="str">
        <x:v>Gen 3 • Hoenn</x:v>
      </x:c>
      <x:c r="E445" s="8"/>
      <x:c r="F445" s="8"/>
    </x:row>
    <x:row r="446" ht="25" customHeight="1">
      <x:c r="A446" s="13" t="str">
        <x:v>☐</x:v>
      </x:c>
      <x:c r="B446" s="11" t="n">
        <x:v>347</x:v>
      </x:c>
      <x:c r="C446" s="15" t="e">
        <x:f>HYPERLINK("https://pokecottage.com/pokemon-master-sets/anorith","Anorith")</x:f>
        <x:v>HYPERLINK is not implemented. linkLocation=https://pokecottage.com/pokemon-master-sets/anorith, friendlyName=Anorith</x:v>
      </x:c>
      <x:c r="D446" s="7" t="str">
        <x:v>Gen 3 • Hoenn</x:v>
      </x:c>
      <x:c r="E446" s="7"/>
      <x:c r="F446" s="7"/>
    </x:row>
    <x:row r="447" ht="25" customHeight="1">
      <x:c r="A447" s="14" t="str">
        <x:v>☐</x:v>
      </x:c>
      <x:c r="B447" s="12" t="n">
        <x:v>348</x:v>
      </x:c>
      <x:c r="C447" s="16" t="e">
        <x:f>HYPERLINK("https://pokecottage.com/pokemon-master-sets/armaldo","Armaldo")</x:f>
        <x:v>HYPERLINK is not implemented. linkLocation=https://pokecottage.com/pokemon-master-sets/armaldo, friendlyName=Armaldo</x:v>
      </x:c>
      <x:c r="D447" s="8" t="str">
        <x:v>Gen 3 • Hoenn</x:v>
      </x:c>
      <x:c r="E447" s="8"/>
      <x:c r="F447" s="8"/>
    </x:row>
    <x:row r="448" ht="25" customHeight="1">
      <x:c r="A448" s="13" t="str">
        <x:v>☐</x:v>
      </x:c>
      <x:c r="B448" s="11" t="n">
        <x:v>349</x:v>
      </x:c>
      <x:c r="C448" s="15" t="e">
        <x:f>HYPERLINK("https://pokecottage.com/pokemon-master-sets/feebas","Feebas")</x:f>
        <x:v>HYPERLINK is not implemented. linkLocation=https://pokecottage.com/pokemon-master-sets/feebas, friendlyName=Feebas</x:v>
      </x:c>
      <x:c r="D448" s="7" t="str">
        <x:v>Gen 3 • Hoenn</x:v>
      </x:c>
      <x:c r="E448" s="7"/>
      <x:c r="F448" s="7"/>
    </x:row>
    <x:row r="449" ht="25" customHeight="1">
      <x:c r="A449" s="14" t="str">
        <x:v>☐</x:v>
      </x:c>
      <x:c r="B449" s="12" t="n">
        <x:v>350</x:v>
      </x:c>
      <x:c r="C449" s="16" t="e">
        <x:f>HYPERLINK("https://pokecottage.com/pokemon-master-sets/milotic","Milotic")</x:f>
        <x:v>HYPERLINK is not implemented. linkLocation=https://pokecottage.com/pokemon-master-sets/milotic, friendlyName=Milotic</x:v>
      </x:c>
      <x:c r="D449" s="8" t="str">
        <x:v>Gen 3 • Hoenn</x:v>
      </x:c>
      <x:c r="E449" s="8"/>
      <x:c r="F449" s="8"/>
    </x:row>
    <x:row r="450" ht="25" customHeight="1">
      <x:c r="A450" s="13" t="str">
        <x:v>☐</x:v>
      </x:c>
      <x:c r="B450" s="11" t="n">
        <x:v>351</x:v>
      </x:c>
      <x:c r="C450" s="15" t="e">
        <x:f>HYPERLINK("https://pokecottage.com/pokemon-master-sets/castform","Castform (Normal Form)")</x:f>
        <x:v>HYPERLINK is not implemented. linkLocation=https://pokecottage.com/pokemon-master-sets/castform, friendlyName=Castform (Normal Form)</x:v>
      </x:c>
      <x:c r="D450" s="7" t="str">
        <x:v>Other Form</x:v>
      </x:c>
      <x:c r="E450" s="7"/>
      <x:c r="F450" s="7"/>
    </x:row>
    <x:row r="451" ht="25" customHeight="1">
      <x:c r="A451" s="14" t="str">
        <x:v>☐</x:v>
      </x:c>
      <x:c r="B451" s="12" t="n">
        <x:v>351</x:v>
      </x:c>
      <x:c r="C451" s="16" t="e">
        <x:f>HYPERLINK("https://pokecottage.com/pokemon-master-sets/castform","Castform (Sunny Form)")</x:f>
        <x:v>HYPERLINK is not implemented. linkLocation=https://pokecottage.com/pokemon-master-sets/castform, friendlyName=Castform (Sunny Form)</x:v>
      </x:c>
      <x:c r="D451" s="8" t="str">
        <x:v>Other Form</x:v>
      </x:c>
      <x:c r="E451" s="8"/>
      <x:c r="F451" s="8"/>
    </x:row>
    <x:row r="452" ht="25" customHeight="1">
      <x:c r="A452" s="13" t="str">
        <x:v>☐</x:v>
      </x:c>
      <x:c r="B452" s="11" t="n">
        <x:v>351</x:v>
      </x:c>
      <x:c r="C452" s="15" t="e">
        <x:f>HYPERLINK("https://pokecottage.com/pokemon-master-sets/castform","Castform (Rainy Form)")</x:f>
        <x:v>HYPERLINK is not implemented. linkLocation=https://pokecottage.com/pokemon-master-sets/castform, friendlyName=Castform (Rainy Form)</x:v>
      </x:c>
      <x:c r="D452" s="7" t="str">
        <x:v>Other Form</x:v>
      </x:c>
      <x:c r="E452" s="7"/>
      <x:c r="F452" s="7"/>
    </x:row>
    <x:row r="453" ht="25" customHeight="1">
      <x:c r="A453" s="14" t="str">
        <x:v>☐</x:v>
      </x:c>
      <x:c r="B453" s="12" t="n">
        <x:v>351</x:v>
      </x:c>
      <x:c r="C453" s="16" t="e">
        <x:f>HYPERLINK("https://pokecottage.com/pokemon-master-sets/castform","Castform (Snowy Form)")</x:f>
        <x:v>HYPERLINK is not implemented. linkLocation=https://pokecottage.com/pokemon-master-sets/castform, friendlyName=Castform (Snowy Form)</x:v>
      </x:c>
      <x:c r="D453" s="8" t="str">
        <x:v>Other Form</x:v>
      </x:c>
      <x:c r="E453" s="8"/>
      <x:c r="F453" s="8"/>
    </x:row>
    <x:row r="454" ht="25" customHeight="1">
      <x:c r="A454" s="13" t="str">
        <x:v>☐</x:v>
      </x:c>
      <x:c r="B454" s="11" t="n">
        <x:v>352</x:v>
      </x:c>
      <x:c r="C454" s="15" t="e">
        <x:f>HYPERLINK("https://pokecottage.com/pokemon-master-sets/kecleon","Kecleon")</x:f>
        <x:v>HYPERLINK is not implemented. linkLocation=https://pokecottage.com/pokemon-master-sets/kecleon, friendlyName=Kecleon</x:v>
      </x:c>
      <x:c r="D454" s="7" t="str">
        <x:v>Gen 3 • Hoenn</x:v>
      </x:c>
      <x:c r="E454" s="7"/>
      <x:c r="F454" s="7"/>
    </x:row>
    <x:row r="455" ht="25" customHeight="1">
      <x:c r="A455" s="14" t="str">
        <x:v>☐</x:v>
      </x:c>
      <x:c r="B455" s="12" t="n">
        <x:v>353</x:v>
      </x:c>
      <x:c r="C455" s="16" t="e">
        <x:f>HYPERLINK("https://pokecottage.com/pokemon-master-sets/shuppet","Shuppet")</x:f>
        <x:v>HYPERLINK is not implemented. linkLocation=https://pokecottage.com/pokemon-master-sets/shuppet, friendlyName=Shuppet</x:v>
      </x:c>
      <x:c r="D455" s="8" t="str">
        <x:v>Gen 3 • Hoenn</x:v>
      </x:c>
      <x:c r="E455" s="8"/>
      <x:c r="F455" s="8"/>
    </x:row>
    <x:row r="456" ht="25" customHeight="1">
      <x:c r="A456" s="13" t="str">
        <x:v>☐</x:v>
      </x:c>
      <x:c r="B456" s="11" t="n">
        <x:v>354</x:v>
      </x:c>
      <x:c r="C456" s="15" t="e">
        <x:f>HYPERLINK("https://pokecottage.com/pokemon-master-sets/banette","Banette")</x:f>
        <x:v>HYPERLINK is not implemented. linkLocation=https://pokecottage.com/pokemon-master-sets/banette, friendlyName=Banette</x:v>
      </x:c>
      <x:c r="D456" s="7" t="str">
        <x:v>Gen 3 • Hoenn</x:v>
      </x:c>
      <x:c r="E456" s="7"/>
      <x:c r="F456" s="7"/>
    </x:row>
    <x:row r="457" ht="25" customHeight="1">
      <x:c r="A457" s="14" t="str">
        <x:v>☐</x:v>
      </x:c>
      <x:c r="B457" s="12" t="n">
        <x:v>354</x:v>
      </x:c>
      <x:c r="C457" s="16" t="e">
        <x:f>HYPERLINK("https://pokecottage.com/pokemon-master-sets/banette","Mega Banette")</x:f>
        <x:v>HYPERLINK is not implemented. linkLocation=https://pokecottage.com/pokemon-master-sets/banette, friendlyName=Mega Banette</x:v>
      </x:c>
      <x:c r="D457" s="8" t="str">
        <x:v>Mega Evolution</x:v>
      </x:c>
      <x:c r="E457" s="8"/>
      <x:c r="F457" s="8"/>
    </x:row>
    <x:row r="458" ht="25" customHeight="1">
      <x:c r="A458" s="13" t="str">
        <x:v>☐</x:v>
      </x:c>
      <x:c r="B458" s="11" t="n">
        <x:v>355</x:v>
      </x:c>
      <x:c r="C458" s="15" t="e">
        <x:f>HYPERLINK("https://pokecottage.com/pokemon-master-sets/duskull","Duskull")</x:f>
        <x:v>HYPERLINK is not implemented. linkLocation=https://pokecottage.com/pokemon-master-sets/duskull, friendlyName=Duskull</x:v>
      </x:c>
      <x:c r="D458" s="7" t="str">
        <x:v>Gen 3 • Hoenn</x:v>
      </x:c>
      <x:c r="E458" s="7"/>
      <x:c r="F458" s="7"/>
    </x:row>
    <x:row r="459" ht="25" customHeight="1">
      <x:c r="A459" s="14" t="str">
        <x:v>☐</x:v>
      </x:c>
      <x:c r="B459" s="12" t="n">
        <x:v>356</x:v>
      </x:c>
      <x:c r="C459" s="16" t="e">
        <x:f>HYPERLINK("https://pokecottage.com/pokemon-master-sets/dusclops","Dusclops")</x:f>
        <x:v>HYPERLINK is not implemented. linkLocation=https://pokecottage.com/pokemon-master-sets/dusclops, friendlyName=Dusclops</x:v>
      </x:c>
      <x:c r="D459" s="8" t="str">
        <x:v>Gen 3 • Hoenn</x:v>
      </x:c>
      <x:c r="E459" s="8"/>
      <x:c r="F459" s="8"/>
    </x:row>
    <x:row r="460" ht="25" customHeight="1">
      <x:c r="A460" s="13" t="str">
        <x:v>☐</x:v>
      </x:c>
      <x:c r="B460" s="11" t="n">
        <x:v>357</x:v>
      </x:c>
      <x:c r="C460" s="15" t="e">
        <x:f>HYPERLINK("https://pokecottage.com/pokemon-master-sets/tropius","Tropius")</x:f>
        <x:v>HYPERLINK is not implemented. linkLocation=https://pokecottage.com/pokemon-master-sets/tropius, friendlyName=Tropius</x:v>
      </x:c>
      <x:c r="D460" s="7" t="str">
        <x:v>Gen 3 • Hoenn</x:v>
      </x:c>
      <x:c r="E460" s="7"/>
      <x:c r="F460" s="7"/>
    </x:row>
    <x:row r="461" ht="25" customHeight="1">
      <x:c r="A461" s="14" t="str">
        <x:v>☐</x:v>
      </x:c>
      <x:c r="B461" s="12" t="n">
        <x:v>358</x:v>
      </x:c>
      <x:c r="C461" s="16" t="e">
        <x:f>HYPERLINK("https://pokecottage.com/pokemon-master-sets/chimecho","Chimecho")</x:f>
        <x:v>HYPERLINK is not implemented. linkLocation=https://pokecottage.com/pokemon-master-sets/chimecho, friendlyName=Chimecho</x:v>
      </x:c>
      <x:c r="D461" s="8" t="str">
        <x:v>Gen 3 • Hoenn</x:v>
      </x:c>
      <x:c r="E461" s="8"/>
      <x:c r="F461" s="8"/>
    </x:row>
    <x:row r="462" ht="25" customHeight="1">
      <x:c r="A462" s="13" t="str">
        <x:v>☐</x:v>
      </x:c>
      <x:c r="B462" s="11" t="n">
        <x:v>358</x:v>
      </x:c>
      <x:c r="C462" s="15" t="e">
        <x:f>HYPERLINK("https://pokecottage.com/pokemon-master-sets/chimecho","Mega Chimecho")</x:f>
        <x:v>HYPERLINK is not implemented. linkLocation=https://pokecottage.com/pokemon-master-sets/chimecho, friendlyName=Mega Chimecho</x:v>
      </x:c>
      <x:c r="D462" s="7" t="str">
        <x:v>Mega Evolution</x:v>
      </x:c>
      <x:c r="E462" s="7"/>
      <x:c r="F462" s="7"/>
    </x:row>
    <x:row r="463" ht="25" customHeight="1">
      <x:c r="A463" s="14" t="str">
        <x:v>☐</x:v>
      </x:c>
      <x:c r="B463" s="12" t="n">
        <x:v>359</x:v>
      </x:c>
      <x:c r="C463" s="16" t="e">
        <x:f>HYPERLINK("https://pokecottage.com/pokemon-master-sets/absol","Absol")</x:f>
        <x:v>HYPERLINK is not implemented. linkLocation=https://pokecottage.com/pokemon-master-sets/absol, friendlyName=Absol</x:v>
      </x:c>
      <x:c r="D463" s="8" t="str">
        <x:v>Gen 3 • Hoenn</x:v>
      </x:c>
      <x:c r="E463" s="8"/>
      <x:c r="F463" s="8"/>
    </x:row>
    <x:row r="464" ht="25" customHeight="1">
      <x:c r="A464" s="13" t="str">
        <x:v>☐</x:v>
      </x:c>
      <x:c r="B464" s="11" t="n">
        <x:v>359</x:v>
      </x:c>
      <x:c r="C464" s="15" t="e">
        <x:f>HYPERLINK("https://pokecottage.com/pokemon-master-sets/absol","Mega Absol")</x:f>
        <x:v>HYPERLINK is not implemented. linkLocation=https://pokecottage.com/pokemon-master-sets/absol, friendlyName=Mega Absol</x:v>
      </x:c>
      <x:c r="D464" s="7" t="str">
        <x:v>Mega Evolution</x:v>
      </x:c>
      <x:c r="E464" s="7"/>
      <x:c r="F464" s="7"/>
    </x:row>
    <x:row r="465" ht="25" customHeight="1">
      <x:c r="A465" s="14" t="str">
        <x:v>☐</x:v>
      </x:c>
      <x:c r="B465" s="12" t="n">
        <x:v>359</x:v>
      </x:c>
      <x:c r="C465" s="16" t="e">
        <x:f>HYPERLINK("https://pokecottage.com/pokemon-master-sets/absol","Mega Absol Z")</x:f>
        <x:v>HYPERLINK is not implemented. linkLocation=https://pokecottage.com/pokemon-master-sets/absol, friendlyName=Mega Absol Z</x:v>
      </x:c>
      <x:c r="D465" s="8" t="str">
        <x:v>Mega Evolution</x:v>
      </x:c>
      <x:c r="E465" s="8"/>
      <x:c r="F465" s="8"/>
    </x:row>
    <x:row r="466" ht="25" customHeight="1">
      <x:c r="A466" s="13" t="str">
        <x:v>☐</x:v>
      </x:c>
      <x:c r="B466" s="11" t="n">
        <x:v>360</x:v>
      </x:c>
      <x:c r="C466" s="15" t="e">
        <x:f>HYPERLINK("https://pokecottage.com/pokemon-master-sets/wynaut","Wynaut")</x:f>
        <x:v>HYPERLINK is not implemented. linkLocation=https://pokecottage.com/pokemon-master-sets/wynaut, friendlyName=Wynaut</x:v>
      </x:c>
      <x:c r="D466" s="7" t="str">
        <x:v>Gen 3 • Hoenn</x:v>
      </x:c>
      <x:c r="E466" s="7"/>
      <x:c r="F466" s="7"/>
    </x:row>
    <x:row r="467" ht="25" customHeight="1">
      <x:c r="A467" s="14" t="str">
        <x:v>☐</x:v>
      </x:c>
      <x:c r="B467" s="12" t="n">
        <x:v>361</x:v>
      </x:c>
      <x:c r="C467" s="16" t="e">
        <x:f>HYPERLINK("https://pokecottage.com/pokemon-master-sets/snorunt","Snorunt")</x:f>
        <x:v>HYPERLINK is not implemented. linkLocation=https://pokecottage.com/pokemon-master-sets/snorunt, friendlyName=Snorunt</x:v>
      </x:c>
      <x:c r="D467" s="8" t="str">
        <x:v>Gen 3 • Hoenn</x:v>
      </x:c>
      <x:c r="E467" s="8"/>
      <x:c r="F467" s="8"/>
    </x:row>
    <x:row r="468" ht="25" customHeight="1">
      <x:c r="A468" s="13" t="str">
        <x:v>☐</x:v>
      </x:c>
      <x:c r="B468" s="11" t="n">
        <x:v>362</x:v>
      </x:c>
      <x:c r="C468" s="15" t="e">
        <x:f>HYPERLINK("https://pokecottage.com/pokemon-master-sets/glalie","Glalie")</x:f>
        <x:v>HYPERLINK is not implemented. linkLocation=https://pokecottage.com/pokemon-master-sets/glalie, friendlyName=Glalie</x:v>
      </x:c>
      <x:c r="D468" s="7" t="str">
        <x:v>Gen 3 • Hoenn</x:v>
      </x:c>
      <x:c r="E468" s="7"/>
      <x:c r="F468" s="7"/>
    </x:row>
    <x:row r="469" ht="25" customHeight="1">
      <x:c r="A469" s="14" t="str">
        <x:v>☐</x:v>
      </x:c>
      <x:c r="B469" s="12" t="n">
        <x:v>362</x:v>
      </x:c>
      <x:c r="C469" s="16" t="e">
        <x:f>HYPERLINK("https://pokecottage.com/pokemon-master-sets/glalie","Mega Glalie")</x:f>
        <x:v>HYPERLINK is not implemented. linkLocation=https://pokecottage.com/pokemon-master-sets/glalie, friendlyName=Mega Glalie</x:v>
      </x:c>
      <x:c r="D469" s="8" t="str">
        <x:v>Mega Evolution</x:v>
      </x:c>
      <x:c r="E469" s="8"/>
      <x:c r="F469" s="8"/>
    </x:row>
    <x:row r="470" ht="25" customHeight="1">
      <x:c r="A470" s="13" t="str">
        <x:v>☐</x:v>
      </x:c>
      <x:c r="B470" s="11" t="n">
        <x:v>363</x:v>
      </x:c>
      <x:c r="C470" s="15" t="e">
        <x:f>HYPERLINK("https://pokecottage.com/pokemon-master-sets/spheal","Spheal")</x:f>
        <x:v>HYPERLINK is not implemented. linkLocation=https://pokecottage.com/pokemon-master-sets/spheal, friendlyName=Spheal</x:v>
      </x:c>
      <x:c r="D470" s="7" t="str">
        <x:v>Gen 3 • Hoenn</x:v>
      </x:c>
      <x:c r="E470" s="7"/>
      <x:c r="F470" s="7"/>
    </x:row>
    <x:row r="471" ht="25" customHeight="1">
      <x:c r="A471" s="14" t="str">
        <x:v>☐</x:v>
      </x:c>
      <x:c r="B471" s="12" t="n">
        <x:v>364</x:v>
      </x:c>
      <x:c r="C471" s="16" t="e">
        <x:f>HYPERLINK("https://pokecottage.com/pokemon-master-sets/sealeo","Sealeo")</x:f>
        <x:v>HYPERLINK is not implemented. linkLocation=https://pokecottage.com/pokemon-master-sets/sealeo, friendlyName=Sealeo</x:v>
      </x:c>
      <x:c r="D471" s="8" t="str">
        <x:v>Gen 3 • Hoenn</x:v>
      </x:c>
      <x:c r="E471" s="8"/>
      <x:c r="F471" s="8"/>
    </x:row>
    <x:row r="472" ht="25" customHeight="1">
      <x:c r="A472" s="13" t="str">
        <x:v>☐</x:v>
      </x:c>
      <x:c r="B472" s="11" t="n">
        <x:v>365</x:v>
      </x:c>
      <x:c r="C472" s="15" t="e">
        <x:f>HYPERLINK("https://pokecottage.com/pokemon-master-sets/walrein","Walrein")</x:f>
        <x:v>HYPERLINK is not implemented. linkLocation=https://pokecottage.com/pokemon-master-sets/walrein, friendlyName=Walrein</x:v>
      </x:c>
      <x:c r="D472" s="7" t="str">
        <x:v>Gen 3 • Hoenn</x:v>
      </x:c>
      <x:c r="E472" s="7"/>
      <x:c r="F472" s="7"/>
    </x:row>
    <x:row r="473" ht="25" customHeight="1">
      <x:c r="A473" s="14" t="str">
        <x:v>☐</x:v>
      </x:c>
      <x:c r="B473" s="12" t="n">
        <x:v>366</x:v>
      </x:c>
      <x:c r="C473" s="16" t="e">
        <x:f>HYPERLINK("https://pokecottage.com/pokemon-master-sets/clamperl","Clamperl")</x:f>
        <x:v>HYPERLINK is not implemented. linkLocation=https://pokecottage.com/pokemon-master-sets/clamperl, friendlyName=Clamperl</x:v>
      </x:c>
      <x:c r="D473" s="8" t="str">
        <x:v>Gen 3 • Hoenn</x:v>
      </x:c>
      <x:c r="E473" s="8"/>
      <x:c r="F473" s="8"/>
    </x:row>
    <x:row r="474" ht="25" customHeight="1">
      <x:c r="A474" s="13" t="str">
        <x:v>☐</x:v>
      </x:c>
      <x:c r="B474" s="11" t="n">
        <x:v>367</x:v>
      </x:c>
      <x:c r="C474" s="15" t="e">
        <x:f>HYPERLINK("https://pokecottage.com/pokemon-master-sets/huntail","Huntail")</x:f>
        <x:v>HYPERLINK is not implemented. linkLocation=https://pokecottage.com/pokemon-master-sets/huntail, friendlyName=Huntail</x:v>
      </x:c>
      <x:c r="D474" s="7" t="str">
        <x:v>Gen 3 • Hoenn</x:v>
      </x:c>
      <x:c r="E474" s="7"/>
      <x:c r="F474" s="7"/>
    </x:row>
    <x:row r="475" ht="25" customHeight="1">
      <x:c r="A475" s="14" t="str">
        <x:v>☐</x:v>
      </x:c>
      <x:c r="B475" s="12" t="n">
        <x:v>368</x:v>
      </x:c>
      <x:c r="C475" s="16" t="e">
        <x:f>HYPERLINK("https://pokecottage.com/pokemon-master-sets/gorebyss","Gorebyss")</x:f>
        <x:v>HYPERLINK is not implemented. linkLocation=https://pokecottage.com/pokemon-master-sets/gorebyss, friendlyName=Gorebyss</x:v>
      </x:c>
      <x:c r="D475" s="8" t="str">
        <x:v>Gen 3 • Hoenn</x:v>
      </x:c>
      <x:c r="E475" s="8"/>
      <x:c r="F475" s="8"/>
    </x:row>
    <x:row r="476" ht="25" customHeight="1">
      <x:c r="A476" s="13" t="str">
        <x:v>☐</x:v>
      </x:c>
      <x:c r="B476" s="11" t="n">
        <x:v>369</x:v>
      </x:c>
      <x:c r="C476" s="15" t="e">
        <x:f>HYPERLINK("https://pokecottage.com/pokemon-master-sets/relicanth","Relicanth")</x:f>
        <x:v>HYPERLINK is not implemented. linkLocation=https://pokecottage.com/pokemon-master-sets/relicanth, friendlyName=Relicanth</x:v>
      </x:c>
      <x:c r="D476" s="7" t="str">
        <x:v>Gen 3 • Hoenn</x:v>
      </x:c>
      <x:c r="E476" s="7"/>
      <x:c r="F476" s="7"/>
    </x:row>
    <x:row r="477" ht="25" customHeight="1">
      <x:c r="A477" s="14" t="str">
        <x:v>☐</x:v>
      </x:c>
      <x:c r="B477" s="12" t="n">
        <x:v>370</x:v>
      </x:c>
      <x:c r="C477" s="16" t="e">
        <x:f>HYPERLINK("https://pokecottage.com/pokemon-master-sets/luvdisc","Luvdisc")</x:f>
        <x:v>HYPERLINK is not implemented. linkLocation=https://pokecottage.com/pokemon-master-sets/luvdisc, friendlyName=Luvdisc</x:v>
      </x:c>
      <x:c r="D477" s="8" t="str">
        <x:v>Gen 3 • Hoenn</x:v>
      </x:c>
      <x:c r="E477" s="8"/>
      <x:c r="F477" s="8"/>
    </x:row>
    <x:row r="478" ht="25" customHeight="1">
      <x:c r="A478" s="13" t="str">
        <x:v>☐</x:v>
      </x:c>
      <x:c r="B478" s="11" t="n">
        <x:v>371</x:v>
      </x:c>
      <x:c r="C478" s="15" t="e">
        <x:f>HYPERLINK("https://pokecottage.com/pokemon-master-sets/bagon","Bagon")</x:f>
        <x:v>HYPERLINK is not implemented. linkLocation=https://pokecottage.com/pokemon-master-sets/bagon, friendlyName=Bagon</x:v>
      </x:c>
      <x:c r="D478" s="7" t="str">
        <x:v>Gen 3 • Hoenn</x:v>
      </x:c>
      <x:c r="E478" s="7"/>
      <x:c r="F478" s="7"/>
    </x:row>
    <x:row r="479" ht="25" customHeight="1">
      <x:c r="A479" s="14" t="str">
        <x:v>☐</x:v>
      </x:c>
      <x:c r="B479" s="12" t="n">
        <x:v>372</x:v>
      </x:c>
      <x:c r="C479" s="16" t="e">
        <x:f>HYPERLINK("https://pokecottage.com/pokemon-master-sets/shelgon","Shelgon")</x:f>
        <x:v>HYPERLINK is not implemented. linkLocation=https://pokecottage.com/pokemon-master-sets/shelgon, friendlyName=Shelgon</x:v>
      </x:c>
      <x:c r="D479" s="8" t="str">
        <x:v>Gen 3 • Hoenn</x:v>
      </x:c>
      <x:c r="E479" s="8"/>
      <x:c r="F479" s="8"/>
    </x:row>
    <x:row r="480" ht="25" customHeight="1">
      <x:c r="A480" s="13" t="str">
        <x:v>☐</x:v>
      </x:c>
      <x:c r="B480" s="11" t="n">
        <x:v>373</x:v>
      </x:c>
      <x:c r="C480" s="15" t="e">
        <x:f>HYPERLINK("https://pokecottage.com/pokemon-master-sets/salamence","Salamence")</x:f>
        <x:v>HYPERLINK is not implemented. linkLocation=https://pokecottage.com/pokemon-master-sets/salamence, friendlyName=Salamence</x:v>
      </x:c>
      <x:c r="D480" s="7" t="str">
        <x:v>Gen 3 • Hoenn</x:v>
      </x:c>
      <x:c r="E480" s="7"/>
      <x:c r="F480" s="7"/>
    </x:row>
    <x:row r="481" ht="25" customHeight="1">
      <x:c r="A481" s="14" t="str">
        <x:v>☐</x:v>
      </x:c>
      <x:c r="B481" s="12" t="n">
        <x:v>373</x:v>
      </x:c>
      <x:c r="C481" s="16" t="e">
        <x:f>HYPERLINK("https://pokecottage.com/pokemon-master-sets/salamence","Mega Salamence")</x:f>
        <x:v>HYPERLINK is not implemented. linkLocation=https://pokecottage.com/pokemon-master-sets/salamence, friendlyName=Mega Salamence</x:v>
      </x:c>
      <x:c r="D481" s="8" t="str">
        <x:v>Mega Evolution</x:v>
      </x:c>
      <x:c r="E481" s="8"/>
      <x:c r="F481" s="8"/>
    </x:row>
    <x:row r="482" ht="25" customHeight="1">
      <x:c r="A482" s="13" t="str">
        <x:v>☐</x:v>
      </x:c>
      <x:c r="B482" s="11" t="n">
        <x:v>374</x:v>
      </x:c>
      <x:c r="C482" s="15" t="e">
        <x:f>HYPERLINK("https://pokecottage.com/pokemon-master-sets/beldum","Beldum")</x:f>
        <x:v>HYPERLINK is not implemented. linkLocation=https://pokecottage.com/pokemon-master-sets/beldum, friendlyName=Beldum</x:v>
      </x:c>
      <x:c r="D482" s="7" t="str">
        <x:v>Gen 3 • Hoenn</x:v>
      </x:c>
      <x:c r="E482" s="7"/>
      <x:c r="F482" s="7"/>
    </x:row>
    <x:row r="483" ht="25" customHeight="1">
      <x:c r="A483" s="14" t="str">
        <x:v>☐</x:v>
      </x:c>
      <x:c r="B483" s="12" t="n">
        <x:v>375</x:v>
      </x:c>
      <x:c r="C483" s="16" t="e">
        <x:f>HYPERLINK("https://pokecottage.com/pokemon-master-sets/metang","Metang")</x:f>
        <x:v>HYPERLINK is not implemented. linkLocation=https://pokecottage.com/pokemon-master-sets/metang, friendlyName=Metang</x:v>
      </x:c>
      <x:c r="D483" s="8" t="str">
        <x:v>Gen 3 • Hoenn</x:v>
      </x:c>
      <x:c r="E483" s="8"/>
      <x:c r="F483" s="8"/>
    </x:row>
    <x:row r="484" ht="25" customHeight="1">
      <x:c r="A484" s="13" t="str">
        <x:v>☐</x:v>
      </x:c>
      <x:c r="B484" s="11" t="n">
        <x:v>376</x:v>
      </x:c>
      <x:c r="C484" s="15" t="e">
        <x:f>HYPERLINK("https://pokecottage.com/pokemon-master-sets/metagross","Metagross")</x:f>
        <x:v>HYPERLINK is not implemented. linkLocation=https://pokecottage.com/pokemon-master-sets/metagross, friendlyName=Metagross</x:v>
      </x:c>
      <x:c r="D484" s="7" t="str">
        <x:v>Gen 3 • Hoenn</x:v>
      </x:c>
      <x:c r="E484" s="7"/>
      <x:c r="F484" s="7"/>
    </x:row>
    <x:row r="485" ht="25" customHeight="1">
      <x:c r="A485" s="14" t="str">
        <x:v>☐</x:v>
      </x:c>
      <x:c r="B485" s="12" t="n">
        <x:v>376</x:v>
      </x:c>
      <x:c r="C485" s="16" t="e">
        <x:f>HYPERLINK("https://pokecottage.com/pokemon-master-sets/metagross","Mega Metagross")</x:f>
        <x:v>HYPERLINK is not implemented. linkLocation=https://pokecottage.com/pokemon-master-sets/metagross, friendlyName=Mega Metagross</x:v>
      </x:c>
      <x:c r="D485" s="8" t="str">
        <x:v>Mega Evolution</x:v>
      </x:c>
      <x:c r="E485" s="8"/>
      <x:c r="F485" s="8"/>
    </x:row>
    <x:row r="486" ht="25" customHeight="1">
      <x:c r="A486" s="13" t="str">
        <x:v>☐</x:v>
      </x:c>
      <x:c r="B486" s="11" t="n">
        <x:v>377</x:v>
      </x:c>
      <x:c r="C486" s="15" t="e">
        <x:f>HYPERLINK("https://pokecottage.com/pokemon-master-sets/regirock","Regirock")</x:f>
        <x:v>HYPERLINK is not implemented. linkLocation=https://pokecottage.com/pokemon-master-sets/regirock, friendlyName=Regirock</x:v>
      </x:c>
      <x:c r="D486" s="7" t="str">
        <x:v>Gen 3 • Hoenn</x:v>
      </x:c>
      <x:c r="E486" s="7"/>
      <x:c r="F486" s="7"/>
    </x:row>
    <x:row r="487" ht="25" customHeight="1">
      <x:c r="A487" s="14" t="str">
        <x:v>☐</x:v>
      </x:c>
      <x:c r="B487" s="12" t="n">
        <x:v>378</x:v>
      </x:c>
      <x:c r="C487" s="16" t="e">
        <x:f>HYPERLINK("https://pokecottage.com/pokemon-master-sets/regice","Regice")</x:f>
        <x:v>HYPERLINK is not implemented. linkLocation=https://pokecottage.com/pokemon-master-sets/regice, friendlyName=Regice</x:v>
      </x:c>
      <x:c r="D487" s="8" t="str">
        <x:v>Gen 3 • Hoenn</x:v>
      </x:c>
      <x:c r="E487" s="8"/>
      <x:c r="F487" s="8"/>
    </x:row>
    <x:row r="488" ht="25" customHeight="1">
      <x:c r="A488" s="13" t="str">
        <x:v>☐</x:v>
      </x:c>
      <x:c r="B488" s="11" t="n">
        <x:v>379</x:v>
      </x:c>
      <x:c r="C488" s="15" t="e">
        <x:f>HYPERLINK("https://pokecottage.com/pokemon-master-sets/registeel","Registeel")</x:f>
        <x:v>HYPERLINK is not implemented. linkLocation=https://pokecottage.com/pokemon-master-sets/registeel, friendlyName=Registeel</x:v>
      </x:c>
      <x:c r="D488" s="7" t="str">
        <x:v>Gen 3 • Hoenn</x:v>
      </x:c>
      <x:c r="E488" s="7"/>
      <x:c r="F488" s="7"/>
    </x:row>
    <x:row r="489" ht="25" customHeight="1">
      <x:c r="A489" s="14" t="str">
        <x:v>☐</x:v>
      </x:c>
      <x:c r="B489" s="12" t="n">
        <x:v>380</x:v>
      </x:c>
      <x:c r="C489" s="16" t="e">
        <x:f>HYPERLINK("https://pokecottage.com/pokemon-master-sets/latias","Latias")</x:f>
        <x:v>HYPERLINK is not implemented. linkLocation=https://pokecottage.com/pokemon-master-sets/latias, friendlyName=Latias</x:v>
      </x:c>
      <x:c r="D489" s="8" t="str">
        <x:v>Gen 3 • Hoenn</x:v>
      </x:c>
      <x:c r="E489" s="8"/>
      <x:c r="F489" s="8"/>
    </x:row>
    <x:row r="490" ht="25" customHeight="1">
      <x:c r="A490" s="13" t="str">
        <x:v>☐</x:v>
      </x:c>
      <x:c r="B490" s="11" t="n">
        <x:v>380</x:v>
      </x:c>
      <x:c r="C490" s="15" t="e">
        <x:f>HYPERLINK("https://pokecottage.com/pokemon-master-sets/latias","Mega Latias")</x:f>
        <x:v>HYPERLINK is not implemented. linkLocation=https://pokecottage.com/pokemon-master-sets/latias, friendlyName=Mega Latias</x:v>
      </x:c>
      <x:c r="D490" s="7" t="str">
        <x:v>Mega Evolution</x:v>
      </x:c>
      <x:c r="E490" s="7"/>
      <x:c r="F490" s="7"/>
    </x:row>
    <x:row r="491" ht="25" customHeight="1">
      <x:c r="A491" s="14" t="str">
        <x:v>☐</x:v>
      </x:c>
      <x:c r="B491" s="12" t="n">
        <x:v>381</x:v>
      </x:c>
      <x:c r="C491" s="16" t="e">
        <x:f>HYPERLINK("https://pokecottage.com/pokemon-master-sets/latios","Latios")</x:f>
        <x:v>HYPERLINK is not implemented. linkLocation=https://pokecottage.com/pokemon-master-sets/latios, friendlyName=Latios</x:v>
      </x:c>
      <x:c r="D491" s="8" t="str">
        <x:v>Gen 3 • Hoenn</x:v>
      </x:c>
      <x:c r="E491" s="8"/>
      <x:c r="F491" s="8"/>
    </x:row>
    <x:row r="492" ht="25" customHeight="1">
      <x:c r="A492" s="13" t="str">
        <x:v>☐</x:v>
      </x:c>
      <x:c r="B492" s="11" t="n">
        <x:v>381</x:v>
      </x:c>
      <x:c r="C492" s="15" t="e">
        <x:f>HYPERLINK("https://pokecottage.com/pokemon-master-sets/latios","Mega Latios")</x:f>
        <x:v>HYPERLINK is not implemented. linkLocation=https://pokecottage.com/pokemon-master-sets/latios, friendlyName=Mega Latios</x:v>
      </x:c>
      <x:c r="D492" s="7" t="str">
        <x:v>Mega Evolution</x:v>
      </x:c>
      <x:c r="E492" s="7"/>
      <x:c r="F492" s="7"/>
    </x:row>
    <x:row r="493" ht="25" customHeight="1">
      <x:c r="A493" s="14" t="str">
        <x:v>☐</x:v>
      </x:c>
      <x:c r="B493" s="12" t="n">
        <x:v>382</x:v>
      </x:c>
      <x:c r="C493" s="16" t="e">
        <x:f>HYPERLINK("https://pokecottage.com/pokemon-master-sets/kyogre","Kyogre")</x:f>
        <x:v>HYPERLINK is not implemented. linkLocation=https://pokecottage.com/pokemon-master-sets/kyogre, friendlyName=Kyogre</x:v>
      </x:c>
      <x:c r="D493" s="8" t="str">
        <x:v>Other Form</x:v>
      </x:c>
      <x:c r="E493" s="8"/>
      <x:c r="F493" s="8"/>
    </x:row>
    <x:row r="494" ht="25" customHeight="1">
      <x:c r="A494" s="13" t="str">
        <x:v>☐</x:v>
      </x:c>
      <x:c r="B494" s="11" t="n">
        <x:v>382</x:v>
      </x:c>
      <x:c r="C494" s="15" t="e">
        <x:f>HYPERLINK("https://pokecottage.com/pokemon-master-sets/kyogre","Primal Kyogre")</x:f>
        <x:v>HYPERLINK is not implemented. linkLocation=https://pokecottage.com/pokemon-master-sets/kyogre, friendlyName=Primal Kyogre</x:v>
      </x:c>
      <x:c r="D494" s="7" t="str">
        <x:v>Other Form</x:v>
      </x:c>
      <x:c r="E494" s="7"/>
      <x:c r="F494" s="7"/>
    </x:row>
    <x:row r="495" ht="25" customHeight="1">
      <x:c r="A495" s="14" t="str">
        <x:v>☐</x:v>
      </x:c>
      <x:c r="B495" s="12" t="n">
        <x:v>383</x:v>
      </x:c>
      <x:c r="C495" s="16" t="e">
        <x:f>HYPERLINK("https://pokecottage.com/pokemon-master-sets/groudon","Groudon")</x:f>
        <x:v>HYPERLINK is not implemented. linkLocation=https://pokecottage.com/pokemon-master-sets/groudon, friendlyName=Groudon</x:v>
      </x:c>
      <x:c r="D495" s="8" t="str">
        <x:v>Other Form</x:v>
      </x:c>
      <x:c r="E495" s="8"/>
      <x:c r="F495" s="8"/>
    </x:row>
    <x:row r="496" ht="25" customHeight="1">
      <x:c r="A496" s="13" t="str">
        <x:v>☐</x:v>
      </x:c>
      <x:c r="B496" s="11" t="n">
        <x:v>383</x:v>
      </x:c>
      <x:c r="C496" s="15" t="e">
        <x:f>HYPERLINK("https://pokecottage.com/pokemon-master-sets/groudon","Primal Groudon")</x:f>
        <x:v>HYPERLINK is not implemented. linkLocation=https://pokecottage.com/pokemon-master-sets/groudon, friendlyName=Primal Groudon</x:v>
      </x:c>
      <x:c r="D496" s="7" t="str">
        <x:v>Other Form</x:v>
      </x:c>
      <x:c r="E496" s="7"/>
      <x:c r="F496" s="7"/>
    </x:row>
    <x:row r="497" ht="25" customHeight="1">
      <x:c r="A497" s="14" t="str">
        <x:v>☐</x:v>
      </x:c>
      <x:c r="B497" s="12" t="n">
        <x:v>384</x:v>
      </x:c>
      <x:c r="C497" s="16" t="e">
        <x:f>HYPERLINK("https://pokecottage.com/pokemon-master-sets/rayquaza","Rayquaza")</x:f>
        <x:v>HYPERLINK is not implemented. linkLocation=https://pokecottage.com/pokemon-master-sets/rayquaza, friendlyName=Rayquaza</x:v>
      </x:c>
      <x:c r="D497" s="8" t="str">
        <x:v>Gen 3 • Hoenn</x:v>
      </x:c>
      <x:c r="E497" s="8"/>
      <x:c r="F497" s="8"/>
    </x:row>
    <x:row r="498" ht="25" customHeight="1">
      <x:c r="A498" s="13" t="str">
        <x:v>☐</x:v>
      </x:c>
      <x:c r="B498" s="11" t="n">
        <x:v>384</x:v>
      </x:c>
      <x:c r="C498" s="15" t="e">
        <x:f>HYPERLINK("https://pokecottage.com/pokemon-master-sets/rayquaza","Mega Rayquaza")</x:f>
        <x:v>HYPERLINK is not implemented. linkLocation=https://pokecottage.com/pokemon-master-sets/rayquaza, friendlyName=Mega Rayquaza</x:v>
      </x:c>
      <x:c r="D498" s="7" t="str">
        <x:v>Mega Evolution</x:v>
      </x:c>
      <x:c r="E498" s="7"/>
      <x:c r="F498" s="7"/>
    </x:row>
    <x:row r="499" ht="25" customHeight="1">
      <x:c r="A499" s="14" t="str">
        <x:v>☐</x:v>
      </x:c>
      <x:c r="B499" s="12" t="n">
        <x:v>385</x:v>
      </x:c>
      <x:c r="C499" s="16" t="e">
        <x:f>HYPERLINK("https://pokecottage.com/pokemon-master-sets/jirachi","Jirachi")</x:f>
        <x:v>HYPERLINK is not implemented. linkLocation=https://pokecottage.com/pokemon-master-sets/jirachi, friendlyName=Jirachi</x:v>
      </x:c>
      <x:c r="D499" s="8" t="str">
        <x:v>Gen 3 • Hoenn</x:v>
      </x:c>
      <x:c r="E499" s="8"/>
      <x:c r="F499" s="8"/>
    </x:row>
    <x:row r="500" ht="25" customHeight="1">
      <x:c r="A500" s="13" t="str">
        <x:v>☐</x:v>
      </x:c>
      <x:c r="B500" s="11" t="n">
        <x:v>386</x:v>
      </x:c>
      <x:c r="C500" s="15" t="e">
        <x:f>HYPERLINK("https://pokecottage.com/pokemon-master-sets/deoxys","Deoxys (Normal Forme)")</x:f>
        <x:v>HYPERLINK is not implemented. linkLocation=https://pokecottage.com/pokemon-master-sets/deoxys, friendlyName=Deoxys (Normal Forme)</x:v>
      </x:c>
      <x:c r="D500" s="7" t="str">
        <x:v>Other Form</x:v>
      </x:c>
      <x:c r="E500" s="7"/>
      <x:c r="F500" s="7"/>
    </x:row>
    <x:row r="501" ht="25" customHeight="1">
      <x:c r="A501" s="14" t="str">
        <x:v>☐</x:v>
      </x:c>
      <x:c r="B501" s="12" t="n">
        <x:v>386</x:v>
      </x:c>
      <x:c r="C501" s="16" t="e">
        <x:f>HYPERLINK("https://pokecottage.com/pokemon-master-sets/deoxys","Deoxys (Attack Forme)")</x:f>
        <x:v>HYPERLINK is not implemented. linkLocation=https://pokecottage.com/pokemon-master-sets/deoxys, friendlyName=Deoxys (Attack Forme)</x:v>
      </x:c>
      <x:c r="D501" s="8" t="str">
        <x:v>Other Form</x:v>
      </x:c>
      <x:c r="E501" s="8"/>
      <x:c r="F501" s="8"/>
    </x:row>
    <x:row r="502" ht="25" customHeight="1">
      <x:c r="A502" s="13" t="str">
        <x:v>☐</x:v>
      </x:c>
      <x:c r="B502" s="11" t="n">
        <x:v>386</x:v>
      </x:c>
      <x:c r="C502" s="15" t="e">
        <x:f>HYPERLINK("https://pokecottage.com/pokemon-master-sets/deoxys","Deoxys (Defense Forme)")</x:f>
        <x:v>HYPERLINK is not implemented. linkLocation=https://pokecottage.com/pokemon-master-sets/deoxys, friendlyName=Deoxys (Defense Forme)</x:v>
      </x:c>
      <x:c r="D502" s="7" t="str">
        <x:v>Other Form</x:v>
      </x:c>
      <x:c r="E502" s="7"/>
      <x:c r="F502" s="7"/>
    </x:row>
    <x:row r="503" ht="25" customHeight="1">
      <x:c r="A503" s="14" t="str">
        <x:v>☐</x:v>
      </x:c>
      <x:c r="B503" s="12" t="n">
        <x:v>386</x:v>
      </x:c>
      <x:c r="C503" s="16" t="e">
        <x:f>HYPERLINK("https://pokecottage.com/pokemon-master-sets/deoxys","Deoxys (Speed Forme)")</x:f>
        <x:v>HYPERLINK is not implemented. linkLocation=https://pokecottage.com/pokemon-master-sets/deoxys, friendlyName=Deoxys (Speed Forme)</x:v>
      </x:c>
      <x:c r="D503" s="8" t="str">
        <x:v>Other Form</x:v>
      </x:c>
      <x:c r="E503" s="8"/>
      <x:c r="F503" s="8"/>
    </x:row>
    <x:row r="504" ht="25" customHeight="1">
      <x:c r="A504" s="13" t="str">
        <x:v>☐</x:v>
      </x:c>
      <x:c r="B504" s="11" t="n">
        <x:v>387</x:v>
      </x:c>
      <x:c r="C504" s="15" t="e">
        <x:f>HYPERLINK("https://pokecottage.com/pokemon-master-sets/turtwig","Turtwig")</x:f>
        <x:v>HYPERLINK is not implemented. linkLocation=https://pokecottage.com/pokemon-master-sets/turtwig, friendlyName=Turtwig</x:v>
      </x:c>
      <x:c r="D504" s="7" t="str">
        <x:v>Gen 4 • Sinnoh</x:v>
      </x:c>
      <x:c r="E504" s="7"/>
      <x:c r="F504" s="7"/>
    </x:row>
    <x:row r="505" ht="25" customHeight="1">
      <x:c r="A505" s="14" t="str">
        <x:v>☐</x:v>
      </x:c>
      <x:c r="B505" s="12" t="n">
        <x:v>388</x:v>
      </x:c>
      <x:c r="C505" s="16" t="e">
        <x:f>HYPERLINK("https://pokecottage.com/pokemon-master-sets/grotle","Grotle")</x:f>
        <x:v>HYPERLINK is not implemented. linkLocation=https://pokecottage.com/pokemon-master-sets/grotle, friendlyName=Grotle</x:v>
      </x:c>
      <x:c r="D505" s="8" t="str">
        <x:v>Gen 4 • Sinnoh</x:v>
      </x:c>
      <x:c r="E505" s="8"/>
      <x:c r="F505" s="8"/>
    </x:row>
    <x:row r="506" ht="25" customHeight="1">
      <x:c r="A506" s="13" t="str">
        <x:v>☐</x:v>
      </x:c>
      <x:c r="B506" s="11" t="n">
        <x:v>389</x:v>
      </x:c>
      <x:c r="C506" s="15" t="e">
        <x:f>HYPERLINK("https://pokecottage.com/pokemon-master-sets/torterra","Torterra")</x:f>
        <x:v>HYPERLINK is not implemented. linkLocation=https://pokecottage.com/pokemon-master-sets/torterra, friendlyName=Torterra</x:v>
      </x:c>
      <x:c r="D506" s="7" t="str">
        <x:v>Gen 4 • Sinnoh</x:v>
      </x:c>
      <x:c r="E506" s="7"/>
      <x:c r="F506" s="7"/>
    </x:row>
    <x:row r="507" ht="25" customHeight="1">
      <x:c r="A507" s="14" t="str">
        <x:v>☐</x:v>
      </x:c>
      <x:c r="B507" s="12" t="n">
        <x:v>390</x:v>
      </x:c>
      <x:c r="C507" s="16" t="e">
        <x:f>HYPERLINK("https://pokecottage.com/pokemon-master-sets/chimchar","Chimchar")</x:f>
        <x:v>HYPERLINK is not implemented. linkLocation=https://pokecottage.com/pokemon-master-sets/chimchar, friendlyName=Chimchar</x:v>
      </x:c>
      <x:c r="D507" s="8" t="str">
        <x:v>Gen 4 • Sinnoh</x:v>
      </x:c>
      <x:c r="E507" s="8"/>
      <x:c r="F507" s="8"/>
    </x:row>
    <x:row r="508" ht="25" customHeight="1">
      <x:c r="A508" s="13" t="str">
        <x:v>☐</x:v>
      </x:c>
      <x:c r="B508" s="11" t="n">
        <x:v>391</x:v>
      </x:c>
      <x:c r="C508" s="15" t="e">
        <x:f>HYPERLINK("https://pokecottage.com/pokemon-master-sets/monferno","Monferno")</x:f>
        <x:v>HYPERLINK is not implemented. linkLocation=https://pokecottage.com/pokemon-master-sets/monferno, friendlyName=Monferno</x:v>
      </x:c>
      <x:c r="D508" s="7" t="str">
        <x:v>Gen 4 • Sinnoh</x:v>
      </x:c>
      <x:c r="E508" s="7"/>
      <x:c r="F508" s="7"/>
    </x:row>
    <x:row r="509" ht="25" customHeight="1">
      <x:c r="A509" s="14" t="str">
        <x:v>☐</x:v>
      </x:c>
      <x:c r="B509" s="12" t="n">
        <x:v>392</x:v>
      </x:c>
      <x:c r="C509" s="16" t="e">
        <x:f>HYPERLINK("https://pokecottage.com/pokemon-master-sets/infernape","Infernape")</x:f>
        <x:v>HYPERLINK is not implemented. linkLocation=https://pokecottage.com/pokemon-master-sets/infernape, friendlyName=Infernape</x:v>
      </x:c>
      <x:c r="D509" s="8" t="str">
        <x:v>Gen 4 • Sinnoh</x:v>
      </x:c>
      <x:c r="E509" s="8"/>
      <x:c r="F509" s="8"/>
    </x:row>
    <x:row r="510" ht="25" customHeight="1">
      <x:c r="A510" s="13" t="str">
        <x:v>☐</x:v>
      </x:c>
      <x:c r="B510" s="11" t="n">
        <x:v>393</x:v>
      </x:c>
      <x:c r="C510" s="15" t="e">
        <x:f>HYPERLINK("https://pokecottage.com/pokemon-master-sets/piplup","Piplup")</x:f>
        <x:v>HYPERLINK is not implemented. linkLocation=https://pokecottage.com/pokemon-master-sets/piplup, friendlyName=Piplup</x:v>
      </x:c>
      <x:c r="D510" s="7" t="str">
        <x:v>Gen 4 • Sinnoh</x:v>
      </x:c>
      <x:c r="E510" s="7"/>
      <x:c r="F510" s="7"/>
    </x:row>
    <x:row r="511" ht="25" customHeight="1">
      <x:c r="A511" s="14" t="str">
        <x:v>☐</x:v>
      </x:c>
      <x:c r="B511" s="12" t="n">
        <x:v>394</x:v>
      </x:c>
      <x:c r="C511" s="16" t="e">
        <x:f>HYPERLINK("https://pokecottage.com/pokemon-master-sets/prinplup","Prinplup")</x:f>
        <x:v>HYPERLINK is not implemented. linkLocation=https://pokecottage.com/pokemon-master-sets/prinplup, friendlyName=Prinplup</x:v>
      </x:c>
      <x:c r="D511" s="8" t="str">
        <x:v>Gen 4 • Sinnoh</x:v>
      </x:c>
      <x:c r="E511" s="8"/>
      <x:c r="F511" s="8"/>
    </x:row>
    <x:row r="512" ht="25" customHeight="1">
      <x:c r="A512" s="13" t="str">
        <x:v>☐</x:v>
      </x:c>
      <x:c r="B512" s="11" t="n">
        <x:v>395</x:v>
      </x:c>
      <x:c r="C512" s="15" t="e">
        <x:f>HYPERLINK("https://pokecottage.com/pokemon-master-sets/empoleon","Empoleon")</x:f>
        <x:v>HYPERLINK is not implemented. linkLocation=https://pokecottage.com/pokemon-master-sets/empoleon, friendlyName=Empoleon</x:v>
      </x:c>
      <x:c r="D512" s="7" t="str">
        <x:v>Gen 4 • Sinnoh</x:v>
      </x:c>
      <x:c r="E512" s="7"/>
      <x:c r="F512" s="7"/>
    </x:row>
    <x:row r="513" ht="25" customHeight="1">
      <x:c r="A513" s="14" t="str">
        <x:v>☐</x:v>
      </x:c>
      <x:c r="B513" s="12" t="n">
        <x:v>396</x:v>
      </x:c>
      <x:c r="C513" s="16" t="e">
        <x:f>HYPERLINK("https://pokecottage.com/pokemon-master-sets/starly","Starly")</x:f>
        <x:v>HYPERLINK is not implemented. linkLocation=https://pokecottage.com/pokemon-master-sets/starly, friendlyName=Starly</x:v>
      </x:c>
      <x:c r="D513" s="8" t="str">
        <x:v>Gen 4 • Sinnoh</x:v>
      </x:c>
      <x:c r="E513" s="8"/>
      <x:c r="F513" s="8"/>
    </x:row>
    <x:row r="514" ht="25" customHeight="1">
      <x:c r="A514" s="13" t="str">
        <x:v>☐</x:v>
      </x:c>
      <x:c r="B514" s="11" t="n">
        <x:v>397</x:v>
      </x:c>
      <x:c r="C514" s="15" t="e">
        <x:f>HYPERLINK("https://pokecottage.com/pokemon-master-sets/staravia","Staravia")</x:f>
        <x:v>HYPERLINK is not implemented. linkLocation=https://pokecottage.com/pokemon-master-sets/staravia, friendlyName=Staravia</x:v>
      </x:c>
      <x:c r="D514" s="7" t="str">
        <x:v>Gen 4 • Sinnoh</x:v>
      </x:c>
      <x:c r="E514" s="7"/>
      <x:c r="F514" s="7"/>
    </x:row>
    <x:row r="515" ht="25" customHeight="1">
      <x:c r="A515" s="14" t="str">
        <x:v>☐</x:v>
      </x:c>
      <x:c r="B515" s="12" t="n">
        <x:v>398</x:v>
      </x:c>
      <x:c r="C515" s="16" t="e">
        <x:f>HYPERLINK("https://pokecottage.com/pokemon-master-sets/staraptor","Staraptor")</x:f>
        <x:v>HYPERLINK is not implemented. linkLocation=https://pokecottage.com/pokemon-master-sets/staraptor, friendlyName=Staraptor</x:v>
      </x:c>
      <x:c r="D515" s="8" t="str">
        <x:v>Gen 4 • Sinnoh</x:v>
      </x:c>
      <x:c r="E515" s="8"/>
      <x:c r="F515" s="8"/>
    </x:row>
    <x:row r="516" ht="25" customHeight="1">
      <x:c r="A516" s="13" t="str">
        <x:v>☐</x:v>
      </x:c>
      <x:c r="B516" s="11" t="n">
        <x:v>398</x:v>
      </x:c>
      <x:c r="C516" s="15" t="e">
        <x:f>HYPERLINK("https://pokecottage.com/pokemon-master-sets/staraptor","Mega Staraptor")</x:f>
        <x:v>HYPERLINK is not implemented. linkLocation=https://pokecottage.com/pokemon-master-sets/staraptor, friendlyName=Mega Staraptor</x:v>
      </x:c>
      <x:c r="D516" s="7" t="str">
        <x:v>Mega Evolution</x:v>
      </x:c>
      <x:c r="E516" s="7"/>
      <x:c r="F516" s="7"/>
    </x:row>
    <x:row r="517" ht="25" customHeight="1">
      <x:c r="A517" s="14" t="str">
        <x:v>☐</x:v>
      </x:c>
      <x:c r="B517" s="12" t="n">
        <x:v>399</x:v>
      </x:c>
      <x:c r="C517" s="16" t="e">
        <x:f>HYPERLINK("https://pokecottage.com/pokemon-master-sets/bidoof","Bidoof")</x:f>
        <x:v>HYPERLINK is not implemented. linkLocation=https://pokecottage.com/pokemon-master-sets/bidoof, friendlyName=Bidoof</x:v>
      </x:c>
      <x:c r="D517" s="8" t="str">
        <x:v>Gen 4 • Sinnoh</x:v>
      </x:c>
      <x:c r="E517" s="8"/>
      <x:c r="F517" s="8"/>
    </x:row>
    <x:row r="518" ht="25" customHeight="1">
      <x:c r="A518" s="13" t="str">
        <x:v>☐</x:v>
      </x:c>
      <x:c r="B518" s="11" t="n">
        <x:v>400</x:v>
      </x:c>
      <x:c r="C518" s="15" t="e">
        <x:f>HYPERLINK("https://pokecottage.com/pokemon-master-sets/bibarel","Bibarel")</x:f>
        <x:v>HYPERLINK is not implemented. linkLocation=https://pokecottage.com/pokemon-master-sets/bibarel, friendlyName=Bibarel</x:v>
      </x:c>
      <x:c r="D518" s="7" t="str">
        <x:v>Gen 4 • Sinnoh</x:v>
      </x:c>
      <x:c r="E518" s="7"/>
      <x:c r="F518" s="7"/>
    </x:row>
    <x:row r="519" ht="25" customHeight="1">
      <x:c r="A519" s="14" t="str">
        <x:v>☐</x:v>
      </x:c>
      <x:c r="B519" s="12" t="n">
        <x:v>401</x:v>
      </x:c>
      <x:c r="C519" s="16" t="e">
        <x:f>HYPERLINK("https://pokecottage.com/pokemon-master-sets/kricketot","Kricketot")</x:f>
        <x:v>HYPERLINK is not implemented. linkLocation=https://pokecottage.com/pokemon-master-sets/kricketot, friendlyName=Kricketot</x:v>
      </x:c>
      <x:c r="D519" s="8" t="str">
        <x:v>Gen 4 • Sinnoh</x:v>
      </x:c>
      <x:c r="E519" s="8"/>
      <x:c r="F519" s="8"/>
    </x:row>
    <x:row r="520" ht="25" customHeight="1">
      <x:c r="A520" s="13" t="str">
        <x:v>☐</x:v>
      </x:c>
      <x:c r="B520" s="11" t="n">
        <x:v>402</x:v>
      </x:c>
      <x:c r="C520" s="15" t="e">
        <x:f>HYPERLINK("https://pokecottage.com/pokemon-master-sets/kricketune","Kricketune")</x:f>
        <x:v>HYPERLINK is not implemented. linkLocation=https://pokecottage.com/pokemon-master-sets/kricketune, friendlyName=Kricketune</x:v>
      </x:c>
      <x:c r="D520" s="7" t="str">
        <x:v>Gen 4 • Sinnoh</x:v>
      </x:c>
      <x:c r="E520" s="7"/>
      <x:c r="F520" s="7"/>
    </x:row>
    <x:row r="521" ht="25" customHeight="1">
      <x:c r="A521" s="14" t="str">
        <x:v>☐</x:v>
      </x:c>
      <x:c r="B521" s="12" t="n">
        <x:v>403</x:v>
      </x:c>
      <x:c r="C521" s="16" t="e">
        <x:f>HYPERLINK("https://pokecottage.com/pokemon-master-sets/shinx","Shinx")</x:f>
        <x:v>HYPERLINK is not implemented. linkLocation=https://pokecottage.com/pokemon-master-sets/shinx, friendlyName=Shinx</x:v>
      </x:c>
      <x:c r="D521" s="8" t="str">
        <x:v>Gen 4 • Sinnoh</x:v>
      </x:c>
      <x:c r="E521" s="8"/>
      <x:c r="F521" s="8"/>
    </x:row>
    <x:row r="522" ht="25" customHeight="1">
      <x:c r="A522" s="13" t="str">
        <x:v>☐</x:v>
      </x:c>
      <x:c r="B522" s="11" t="n">
        <x:v>404</x:v>
      </x:c>
      <x:c r="C522" s="15" t="e">
        <x:f>HYPERLINK("https://pokecottage.com/pokemon-master-sets/luxio","Luxio")</x:f>
        <x:v>HYPERLINK is not implemented. linkLocation=https://pokecottage.com/pokemon-master-sets/luxio, friendlyName=Luxio</x:v>
      </x:c>
      <x:c r="D522" s="7" t="str">
        <x:v>Gen 4 • Sinnoh</x:v>
      </x:c>
      <x:c r="E522" s="7"/>
      <x:c r="F522" s="7"/>
    </x:row>
    <x:row r="523" ht="25" customHeight="1">
      <x:c r="A523" s="14" t="str">
        <x:v>☐</x:v>
      </x:c>
      <x:c r="B523" s="12" t="n">
        <x:v>405</x:v>
      </x:c>
      <x:c r="C523" s="16" t="e">
        <x:f>HYPERLINK("https://pokecottage.com/pokemon-master-sets/luxray","Luxray")</x:f>
        <x:v>HYPERLINK is not implemented. linkLocation=https://pokecottage.com/pokemon-master-sets/luxray, friendlyName=Luxray</x:v>
      </x:c>
      <x:c r="D523" s="8" t="str">
        <x:v>Gen 4 • Sinnoh</x:v>
      </x:c>
      <x:c r="E523" s="8"/>
      <x:c r="F523" s="8"/>
    </x:row>
    <x:row r="524" ht="25" customHeight="1">
      <x:c r="A524" s="13" t="str">
        <x:v>☐</x:v>
      </x:c>
      <x:c r="B524" s="11" t="n">
        <x:v>406</x:v>
      </x:c>
      <x:c r="C524" s="15" t="e">
        <x:f>HYPERLINK("https://pokecottage.com/pokemon-master-sets/budew","Budew")</x:f>
        <x:v>HYPERLINK is not implemented. linkLocation=https://pokecottage.com/pokemon-master-sets/budew, friendlyName=Budew</x:v>
      </x:c>
      <x:c r="D524" s="7" t="str">
        <x:v>Gen 4 • Sinnoh</x:v>
      </x:c>
      <x:c r="E524" s="7"/>
      <x:c r="F524" s="7"/>
    </x:row>
    <x:row r="525" ht="25" customHeight="1">
      <x:c r="A525" s="14" t="str">
        <x:v>☐</x:v>
      </x:c>
      <x:c r="B525" s="12" t="n">
        <x:v>407</x:v>
      </x:c>
      <x:c r="C525" s="16" t="e">
        <x:f>HYPERLINK("https://pokecottage.com/pokemon-master-sets/roserade","Roserade")</x:f>
        <x:v>HYPERLINK is not implemented. linkLocation=https://pokecottage.com/pokemon-master-sets/roserade, friendlyName=Roserade</x:v>
      </x:c>
      <x:c r="D525" s="8" t="str">
        <x:v>Gen 4 • Sinnoh</x:v>
      </x:c>
      <x:c r="E525" s="8"/>
      <x:c r="F525" s="8"/>
    </x:row>
    <x:row r="526" ht="25" customHeight="1">
      <x:c r="A526" s="13" t="str">
        <x:v>☐</x:v>
      </x:c>
      <x:c r="B526" s="11" t="n">
        <x:v>408</x:v>
      </x:c>
      <x:c r="C526" s="15" t="e">
        <x:f>HYPERLINK("https://pokecottage.com/pokemon-master-sets/cranidos","Cranidos")</x:f>
        <x:v>HYPERLINK is not implemented. linkLocation=https://pokecottage.com/pokemon-master-sets/cranidos, friendlyName=Cranidos</x:v>
      </x:c>
      <x:c r="D526" s="7" t="str">
        <x:v>Gen 4 • Sinnoh</x:v>
      </x:c>
      <x:c r="E526" s="7"/>
      <x:c r="F526" s="7"/>
    </x:row>
    <x:row r="527" ht="25" customHeight="1">
      <x:c r="A527" s="14" t="str">
        <x:v>☐</x:v>
      </x:c>
      <x:c r="B527" s="12" t="n">
        <x:v>409</x:v>
      </x:c>
      <x:c r="C527" s="16" t="e">
        <x:f>HYPERLINK("https://pokecottage.com/pokemon-master-sets/rampardos","Rampardos")</x:f>
        <x:v>HYPERLINK is not implemented. linkLocation=https://pokecottage.com/pokemon-master-sets/rampardos, friendlyName=Rampardos</x:v>
      </x:c>
      <x:c r="D527" s="8" t="str">
        <x:v>Gen 4 • Sinnoh</x:v>
      </x:c>
      <x:c r="E527" s="8"/>
      <x:c r="F527" s="8"/>
    </x:row>
    <x:row r="528" ht="25" customHeight="1">
      <x:c r="A528" s="13" t="str">
        <x:v>☐</x:v>
      </x:c>
      <x:c r="B528" s="11" t="n">
        <x:v>410</x:v>
      </x:c>
      <x:c r="C528" s="15" t="e">
        <x:f>HYPERLINK("https://pokecottage.com/pokemon-master-sets/shieldon","Shieldon")</x:f>
        <x:v>HYPERLINK is not implemented. linkLocation=https://pokecottage.com/pokemon-master-sets/shieldon, friendlyName=Shieldon</x:v>
      </x:c>
      <x:c r="D528" s="7" t="str">
        <x:v>Gen 4 • Sinnoh</x:v>
      </x:c>
      <x:c r="E528" s="7"/>
      <x:c r="F528" s="7"/>
    </x:row>
    <x:row r="529" ht="25" customHeight="1">
      <x:c r="A529" s="14" t="str">
        <x:v>☐</x:v>
      </x:c>
      <x:c r="B529" s="12" t="n">
        <x:v>411</x:v>
      </x:c>
      <x:c r="C529" s="16" t="e">
        <x:f>HYPERLINK("https://pokecottage.com/pokemon-master-sets/bastiodon","Bastiodon")</x:f>
        <x:v>HYPERLINK is not implemented. linkLocation=https://pokecottage.com/pokemon-master-sets/bastiodon, friendlyName=Bastiodon</x:v>
      </x:c>
      <x:c r="D529" s="8" t="str">
        <x:v>Gen 4 • Sinnoh</x:v>
      </x:c>
      <x:c r="E529" s="8"/>
      <x:c r="F529" s="8"/>
    </x:row>
    <x:row r="530" ht="25" customHeight="1">
      <x:c r="A530" s="13" t="str">
        <x:v>☐</x:v>
      </x:c>
      <x:c r="B530" s="11" t="n">
        <x:v>412</x:v>
      </x:c>
      <x:c r="C530" s="15" t="e">
        <x:f>HYPERLINK("https://pokecottage.com/pokemon-master-sets/burmy","Burmy (Plant Cloak)")</x:f>
        <x:v>HYPERLINK is not implemented. linkLocation=https://pokecottage.com/pokemon-master-sets/burmy, friendlyName=Burmy (Plant Cloak)</x:v>
      </x:c>
      <x:c r="D530" s="7" t="str">
        <x:v>Other Form</x:v>
      </x:c>
      <x:c r="E530" s="7"/>
      <x:c r="F530" s="7"/>
    </x:row>
    <x:row r="531" ht="25" customHeight="1">
      <x:c r="A531" s="14" t="str">
        <x:v>☐</x:v>
      </x:c>
      <x:c r="B531" s="12" t="n">
        <x:v>412</x:v>
      </x:c>
      <x:c r="C531" s="16" t="e">
        <x:f>HYPERLINK("https://pokecottage.com/pokemon-master-sets/burmy","Burmy (Sandy Cloak)")</x:f>
        <x:v>HYPERLINK is not implemented. linkLocation=https://pokecottage.com/pokemon-master-sets/burmy, friendlyName=Burmy (Sandy Cloak)</x:v>
      </x:c>
      <x:c r="D531" s="8" t="str">
        <x:v>Other Form</x:v>
      </x:c>
      <x:c r="E531" s="8"/>
      <x:c r="F531" s="8"/>
    </x:row>
    <x:row r="532" ht="25" customHeight="1">
      <x:c r="A532" s="13" t="str">
        <x:v>☐</x:v>
      </x:c>
      <x:c r="B532" s="11" t="n">
        <x:v>412</x:v>
      </x:c>
      <x:c r="C532" s="15" t="e">
        <x:f>HYPERLINK("https://pokecottage.com/pokemon-master-sets/burmy","Burmy (Trash Cloak)")</x:f>
        <x:v>HYPERLINK is not implemented. linkLocation=https://pokecottage.com/pokemon-master-sets/burmy, friendlyName=Burmy (Trash Cloak)</x:v>
      </x:c>
      <x:c r="D532" s="7" t="str">
        <x:v>Other Form</x:v>
      </x:c>
      <x:c r="E532" s="7"/>
      <x:c r="F532" s="7"/>
    </x:row>
    <x:row r="533" ht="25" customHeight="1">
      <x:c r="A533" s="14" t="str">
        <x:v>☐</x:v>
      </x:c>
      <x:c r="B533" s="12" t="n">
        <x:v>413</x:v>
      </x:c>
      <x:c r="C533" s="16" t="e">
        <x:f>HYPERLINK("https://pokecottage.com/pokemon-master-sets/wormadam","Wormadam (Plant Cloak)")</x:f>
        <x:v>HYPERLINK is not implemented. linkLocation=https://pokecottage.com/pokemon-master-sets/wormadam, friendlyName=Wormadam (Plant Cloak)</x:v>
      </x:c>
      <x:c r="D533" s="8" t="str">
        <x:v>Other Form</x:v>
      </x:c>
      <x:c r="E533" s="8"/>
      <x:c r="F533" s="8"/>
    </x:row>
    <x:row r="534" ht="25" customHeight="1">
      <x:c r="A534" s="13" t="str">
        <x:v>☐</x:v>
      </x:c>
      <x:c r="B534" s="11" t="n">
        <x:v>413</x:v>
      </x:c>
      <x:c r="C534" s="15" t="e">
        <x:f>HYPERLINK("https://pokecottage.com/pokemon-master-sets/wormadam","Wormadam (Sandy Cloak)")</x:f>
        <x:v>HYPERLINK is not implemented. linkLocation=https://pokecottage.com/pokemon-master-sets/wormadam, friendlyName=Wormadam (Sandy Cloak)</x:v>
      </x:c>
      <x:c r="D534" s="7" t="str">
        <x:v>Other Form</x:v>
      </x:c>
      <x:c r="E534" s="7"/>
      <x:c r="F534" s="7"/>
    </x:row>
    <x:row r="535" ht="25" customHeight="1">
      <x:c r="A535" s="14" t="str">
        <x:v>☐</x:v>
      </x:c>
      <x:c r="B535" s="12" t="n">
        <x:v>413</x:v>
      </x:c>
      <x:c r="C535" s="16" t="e">
        <x:f>HYPERLINK("https://pokecottage.com/pokemon-master-sets/wormadam","Wormadam (Trash Cloak)")</x:f>
        <x:v>HYPERLINK is not implemented. linkLocation=https://pokecottage.com/pokemon-master-sets/wormadam, friendlyName=Wormadam (Trash Cloak)</x:v>
      </x:c>
      <x:c r="D535" s="8" t="str">
        <x:v>Other Form</x:v>
      </x:c>
      <x:c r="E535" s="8"/>
      <x:c r="F535" s="8"/>
    </x:row>
    <x:row r="536" ht="25" customHeight="1">
      <x:c r="A536" s="13" t="str">
        <x:v>☐</x:v>
      </x:c>
      <x:c r="B536" s="11" t="n">
        <x:v>414</x:v>
      </x:c>
      <x:c r="C536" s="15" t="e">
        <x:f>HYPERLINK("https://pokecottage.com/pokemon-master-sets/mothim","Mothim")</x:f>
        <x:v>HYPERLINK is not implemented. linkLocation=https://pokecottage.com/pokemon-master-sets/mothim, friendlyName=Mothim</x:v>
      </x:c>
      <x:c r="D536" s="7" t="str">
        <x:v>Gen 4 • Sinnoh</x:v>
      </x:c>
      <x:c r="E536" s="7"/>
      <x:c r="F536" s="7"/>
    </x:row>
    <x:row r="537" ht="25" customHeight="1">
      <x:c r="A537" s="14" t="str">
        <x:v>☐</x:v>
      </x:c>
      <x:c r="B537" s="12" t="n">
        <x:v>415</x:v>
      </x:c>
      <x:c r="C537" s="16" t="e">
        <x:f>HYPERLINK("https://pokecottage.com/pokemon-master-sets/combee","Combee")</x:f>
        <x:v>HYPERLINK is not implemented. linkLocation=https://pokecottage.com/pokemon-master-sets/combee, friendlyName=Combee</x:v>
      </x:c>
      <x:c r="D537" s="8" t="str">
        <x:v>Gen 4 • Sinnoh</x:v>
      </x:c>
      <x:c r="E537" s="8"/>
      <x:c r="F537" s="8"/>
    </x:row>
    <x:row r="538" ht="25" customHeight="1">
      <x:c r="A538" s="13" t="str">
        <x:v>☐</x:v>
      </x:c>
      <x:c r="B538" s="11" t="n">
        <x:v>416</x:v>
      </x:c>
      <x:c r="C538" s="15" t="e">
        <x:f>HYPERLINK("https://pokecottage.com/pokemon-master-sets/vespiquen","Vespiquen")</x:f>
        <x:v>HYPERLINK is not implemented. linkLocation=https://pokecottage.com/pokemon-master-sets/vespiquen, friendlyName=Vespiquen</x:v>
      </x:c>
      <x:c r="D538" s="7" t="str">
        <x:v>Gen 4 • Sinnoh</x:v>
      </x:c>
      <x:c r="E538" s="7"/>
      <x:c r="F538" s="7"/>
    </x:row>
    <x:row r="539" ht="25" customHeight="1">
      <x:c r="A539" s="14" t="str">
        <x:v>☐</x:v>
      </x:c>
      <x:c r="B539" s="12" t="n">
        <x:v>417</x:v>
      </x:c>
      <x:c r="C539" s="16" t="e">
        <x:f>HYPERLINK("https://pokecottage.com/pokemon-master-sets/pachirisu","Pachirisu")</x:f>
        <x:v>HYPERLINK is not implemented. linkLocation=https://pokecottage.com/pokemon-master-sets/pachirisu, friendlyName=Pachirisu</x:v>
      </x:c>
      <x:c r="D539" s="8" t="str">
        <x:v>Gen 4 • Sinnoh</x:v>
      </x:c>
      <x:c r="E539" s="8"/>
      <x:c r="F539" s="8"/>
    </x:row>
    <x:row r="540" ht="25" customHeight="1">
      <x:c r="A540" s="13" t="str">
        <x:v>☐</x:v>
      </x:c>
      <x:c r="B540" s="11" t="n">
        <x:v>418</x:v>
      </x:c>
      <x:c r="C540" s="15" t="e">
        <x:f>HYPERLINK("https://pokecottage.com/pokemon-master-sets/buizel","Buizel")</x:f>
        <x:v>HYPERLINK is not implemented. linkLocation=https://pokecottage.com/pokemon-master-sets/buizel, friendlyName=Buizel</x:v>
      </x:c>
      <x:c r="D540" s="7" t="str">
        <x:v>Gen 4 • Sinnoh</x:v>
      </x:c>
      <x:c r="E540" s="7"/>
      <x:c r="F540" s="7"/>
    </x:row>
    <x:row r="541" ht="25" customHeight="1">
      <x:c r="A541" s="14" t="str">
        <x:v>☐</x:v>
      </x:c>
      <x:c r="B541" s="12" t="n">
        <x:v>419</x:v>
      </x:c>
      <x:c r="C541" s="16" t="e">
        <x:f>HYPERLINK("https://pokecottage.com/pokemon-master-sets/floatzel","Floatzel")</x:f>
        <x:v>HYPERLINK is not implemented. linkLocation=https://pokecottage.com/pokemon-master-sets/floatzel, friendlyName=Floatzel</x:v>
      </x:c>
      <x:c r="D541" s="8" t="str">
        <x:v>Gen 4 • Sinnoh</x:v>
      </x:c>
      <x:c r="E541" s="8"/>
      <x:c r="F541" s="8"/>
    </x:row>
    <x:row r="542" ht="25" customHeight="1">
      <x:c r="A542" s="13" t="str">
        <x:v>☐</x:v>
      </x:c>
      <x:c r="B542" s="11" t="n">
        <x:v>420</x:v>
      </x:c>
      <x:c r="C542" s="15" t="e">
        <x:f>HYPERLINK("https://pokecottage.com/pokemon-master-sets/cherubi","Cherubi")</x:f>
        <x:v>HYPERLINK is not implemented. linkLocation=https://pokecottage.com/pokemon-master-sets/cherubi, friendlyName=Cherubi</x:v>
      </x:c>
      <x:c r="D542" s="7" t="str">
        <x:v>Gen 4 • Sinnoh</x:v>
      </x:c>
      <x:c r="E542" s="7"/>
      <x:c r="F542" s="7"/>
    </x:row>
    <x:row r="543" ht="25" customHeight="1">
      <x:c r="A543" s="14" t="str">
        <x:v>☐</x:v>
      </x:c>
      <x:c r="B543" s="12" t="n">
        <x:v>421</x:v>
      </x:c>
      <x:c r="C543" s="16" t="e">
        <x:f>HYPERLINK("https://pokecottage.com/pokemon-master-sets/cherrim","Cherrim (Overcast Form)")</x:f>
        <x:v>HYPERLINK is not implemented. linkLocation=https://pokecottage.com/pokemon-master-sets/cherrim, friendlyName=Cherrim (Overcast Form)</x:v>
      </x:c>
      <x:c r="D543" s="8" t="str">
        <x:v>Other Form</x:v>
      </x:c>
      <x:c r="E543" s="8"/>
      <x:c r="F543" s="8"/>
    </x:row>
    <x:row r="544" ht="25" customHeight="1">
      <x:c r="A544" s="13" t="str">
        <x:v>☐</x:v>
      </x:c>
      <x:c r="B544" s="11" t="n">
        <x:v>421</x:v>
      </x:c>
      <x:c r="C544" s="15" t="e">
        <x:f>HYPERLINK("https://pokecottage.com/pokemon-master-sets/cherrim","Cherrim (Sunshine Form)")</x:f>
        <x:v>HYPERLINK is not implemented. linkLocation=https://pokecottage.com/pokemon-master-sets/cherrim, friendlyName=Cherrim (Sunshine Form)</x:v>
      </x:c>
      <x:c r="D544" s="7" t="str">
        <x:v>Other Form</x:v>
      </x:c>
      <x:c r="E544" s="7"/>
      <x:c r="F544" s="7"/>
    </x:row>
    <x:row r="545" ht="25" customHeight="1">
      <x:c r="A545" s="14" t="str">
        <x:v>☐</x:v>
      </x:c>
      <x:c r="B545" s="12" t="n">
        <x:v>422</x:v>
      </x:c>
      <x:c r="C545" s="16" t="e">
        <x:f>HYPERLINK("https://pokecottage.com/pokemon-master-sets/shellos","Shellos (West Sea)")</x:f>
        <x:v>HYPERLINK is not implemented. linkLocation=https://pokecottage.com/pokemon-master-sets/shellos, friendlyName=Shellos (West Sea)</x:v>
      </x:c>
      <x:c r="D545" s="8" t="str">
        <x:v>Other Form</x:v>
      </x:c>
      <x:c r="E545" s="8"/>
      <x:c r="F545" s="8"/>
    </x:row>
    <x:row r="546" ht="25" customHeight="1">
      <x:c r="A546" s="13" t="str">
        <x:v>☐</x:v>
      </x:c>
      <x:c r="B546" s="11" t="n">
        <x:v>422</x:v>
      </x:c>
      <x:c r="C546" s="15" t="e">
        <x:f>HYPERLINK("https://pokecottage.com/pokemon-master-sets/shellos","Shellos (East Sea)")</x:f>
        <x:v>HYPERLINK is not implemented. linkLocation=https://pokecottage.com/pokemon-master-sets/shellos, friendlyName=Shellos (East Sea)</x:v>
      </x:c>
      <x:c r="D546" s="7" t="str">
        <x:v>Other Form</x:v>
      </x:c>
      <x:c r="E546" s="7"/>
      <x:c r="F546" s="7"/>
    </x:row>
    <x:row r="547" ht="25" customHeight="1">
      <x:c r="A547" s="14" t="str">
        <x:v>☐</x:v>
      </x:c>
      <x:c r="B547" s="12" t="n">
        <x:v>423</x:v>
      </x:c>
      <x:c r="C547" s="16" t="e">
        <x:f>HYPERLINK("https://pokecottage.com/pokemon-master-sets/gastrodon","Gastrodon (West Sea)")</x:f>
        <x:v>HYPERLINK is not implemented. linkLocation=https://pokecottage.com/pokemon-master-sets/gastrodon, friendlyName=Gastrodon (West Sea)</x:v>
      </x:c>
      <x:c r="D547" s="8" t="str">
        <x:v>Other Form</x:v>
      </x:c>
      <x:c r="E547" s="8"/>
      <x:c r="F547" s="8"/>
    </x:row>
    <x:row r="548" ht="25" customHeight="1">
      <x:c r="A548" s="13" t="str">
        <x:v>☐</x:v>
      </x:c>
      <x:c r="B548" s="11" t="n">
        <x:v>423</x:v>
      </x:c>
      <x:c r="C548" s="15" t="e">
        <x:f>HYPERLINK("https://pokecottage.com/pokemon-master-sets/gastrodon","Gastrodon (East Sea)")</x:f>
        <x:v>HYPERLINK is not implemented. linkLocation=https://pokecottage.com/pokemon-master-sets/gastrodon, friendlyName=Gastrodon (East Sea)</x:v>
      </x:c>
      <x:c r="D548" s="7" t="str">
        <x:v>Other Form</x:v>
      </x:c>
      <x:c r="E548" s="7"/>
      <x:c r="F548" s="7"/>
    </x:row>
    <x:row r="549" ht="25" customHeight="1">
      <x:c r="A549" s="14" t="str">
        <x:v>☐</x:v>
      </x:c>
      <x:c r="B549" s="12" t="n">
        <x:v>424</x:v>
      </x:c>
      <x:c r="C549" s="16" t="e">
        <x:f>HYPERLINK("https://pokecottage.com/pokemon-master-sets/ambipom","Ambipom")</x:f>
        <x:v>HYPERLINK is not implemented. linkLocation=https://pokecottage.com/pokemon-master-sets/ambipom, friendlyName=Ambipom</x:v>
      </x:c>
      <x:c r="D549" s="8" t="str">
        <x:v>Gen 4 • Sinnoh</x:v>
      </x:c>
      <x:c r="E549" s="8"/>
      <x:c r="F549" s="8"/>
    </x:row>
    <x:row r="550" ht="25" customHeight="1">
      <x:c r="A550" s="13" t="str">
        <x:v>☐</x:v>
      </x:c>
      <x:c r="B550" s="11" t="n">
        <x:v>425</x:v>
      </x:c>
      <x:c r="C550" s="15" t="e">
        <x:f>HYPERLINK("https://pokecottage.com/pokemon-master-sets/drifloon","Drifloon")</x:f>
        <x:v>HYPERLINK is not implemented. linkLocation=https://pokecottage.com/pokemon-master-sets/drifloon, friendlyName=Drifloon</x:v>
      </x:c>
      <x:c r="D550" s="7" t="str">
        <x:v>Gen 4 • Sinnoh</x:v>
      </x:c>
      <x:c r="E550" s="7"/>
      <x:c r="F550" s="7"/>
    </x:row>
    <x:row r="551" ht="25" customHeight="1">
      <x:c r="A551" s="14" t="str">
        <x:v>☐</x:v>
      </x:c>
      <x:c r="B551" s="12" t="n">
        <x:v>426</x:v>
      </x:c>
      <x:c r="C551" s="16" t="e">
        <x:f>HYPERLINK("https://pokecottage.com/pokemon-master-sets/drifblim","Drifblim")</x:f>
        <x:v>HYPERLINK is not implemented. linkLocation=https://pokecottage.com/pokemon-master-sets/drifblim, friendlyName=Drifblim</x:v>
      </x:c>
      <x:c r="D551" s="8" t="str">
        <x:v>Gen 4 • Sinnoh</x:v>
      </x:c>
      <x:c r="E551" s="8"/>
      <x:c r="F551" s="8"/>
    </x:row>
    <x:row r="552" ht="25" customHeight="1">
      <x:c r="A552" s="13" t="str">
        <x:v>☐</x:v>
      </x:c>
      <x:c r="B552" s="11" t="n">
        <x:v>427</x:v>
      </x:c>
      <x:c r="C552" s="15" t="e">
        <x:f>HYPERLINK("https://pokecottage.com/pokemon-master-sets/buneary","Buneary")</x:f>
        <x:v>HYPERLINK is not implemented. linkLocation=https://pokecottage.com/pokemon-master-sets/buneary, friendlyName=Buneary</x:v>
      </x:c>
      <x:c r="D552" s="7" t="str">
        <x:v>Gen 4 • Sinnoh</x:v>
      </x:c>
      <x:c r="E552" s="7"/>
      <x:c r="F552" s="7"/>
    </x:row>
    <x:row r="553" ht="25" customHeight="1">
      <x:c r="A553" s="14" t="str">
        <x:v>☐</x:v>
      </x:c>
      <x:c r="B553" s="12" t="n">
        <x:v>428</x:v>
      </x:c>
      <x:c r="C553" s="16" t="e">
        <x:f>HYPERLINK("https://pokecottage.com/pokemon-master-sets/lopunny","Lopunny")</x:f>
        <x:v>HYPERLINK is not implemented. linkLocation=https://pokecottage.com/pokemon-master-sets/lopunny, friendlyName=Lopunny</x:v>
      </x:c>
      <x:c r="D553" s="8" t="str">
        <x:v>Gen 4 • Sinnoh</x:v>
      </x:c>
      <x:c r="E553" s="8"/>
      <x:c r="F553" s="8"/>
    </x:row>
    <x:row r="554" ht="25" customHeight="1">
      <x:c r="A554" s="13" t="str">
        <x:v>☐</x:v>
      </x:c>
      <x:c r="B554" s="11" t="n">
        <x:v>428</x:v>
      </x:c>
      <x:c r="C554" s="15" t="e">
        <x:f>HYPERLINK("https://pokecottage.com/pokemon-master-sets/lopunny","Mega Lopunny")</x:f>
        <x:v>HYPERLINK is not implemented. linkLocation=https://pokecottage.com/pokemon-master-sets/lopunny, friendlyName=Mega Lopunny</x:v>
      </x:c>
      <x:c r="D554" s="7" t="str">
        <x:v>Mega Evolution</x:v>
      </x:c>
      <x:c r="E554" s="7"/>
      <x:c r="F554" s="7"/>
    </x:row>
    <x:row r="555" ht="25" customHeight="1">
      <x:c r="A555" s="14" t="str">
        <x:v>☐</x:v>
      </x:c>
      <x:c r="B555" s="12" t="n">
        <x:v>429</x:v>
      </x:c>
      <x:c r="C555" s="16" t="e">
        <x:f>HYPERLINK("https://pokecottage.com/pokemon-master-sets/mismagius","Mismagius")</x:f>
        <x:v>HYPERLINK is not implemented. linkLocation=https://pokecottage.com/pokemon-master-sets/mismagius, friendlyName=Mismagius</x:v>
      </x:c>
      <x:c r="D555" s="8" t="str">
        <x:v>Gen 4 • Sinnoh</x:v>
      </x:c>
      <x:c r="E555" s="8"/>
      <x:c r="F555" s="8"/>
    </x:row>
    <x:row r="556" ht="25" customHeight="1">
      <x:c r="A556" s="13" t="str">
        <x:v>☐</x:v>
      </x:c>
      <x:c r="B556" s="11" t="n">
        <x:v>430</x:v>
      </x:c>
      <x:c r="C556" s="15" t="e">
        <x:f>HYPERLINK("https://pokecottage.com/pokemon-master-sets/honchkrow","Honchkrow")</x:f>
        <x:v>HYPERLINK is not implemented. linkLocation=https://pokecottage.com/pokemon-master-sets/honchkrow, friendlyName=Honchkrow</x:v>
      </x:c>
      <x:c r="D556" s="7" t="str">
        <x:v>Gen 4 • Sinnoh</x:v>
      </x:c>
      <x:c r="E556" s="7"/>
      <x:c r="F556" s="7"/>
    </x:row>
    <x:row r="557" ht="25" customHeight="1">
      <x:c r="A557" s="14" t="str">
        <x:v>☐</x:v>
      </x:c>
      <x:c r="B557" s="12" t="n">
        <x:v>431</x:v>
      </x:c>
      <x:c r="C557" s="16" t="e">
        <x:f>HYPERLINK("https://pokecottage.com/pokemon-master-sets/glameow","Glameow")</x:f>
        <x:v>HYPERLINK is not implemented. linkLocation=https://pokecottage.com/pokemon-master-sets/glameow, friendlyName=Glameow</x:v>
      </x:c>
      <x:c r="D557" s="8" t="str">
        <x:v>Gen 4 • Sinnoh</x:v>
      </x:c>
      <x:c r="E557" s="8"/>
      <x:c r="F557" s="8"/>
    </x:row>
    <x:row r="558" ht="25" customHeight="1">
      <x:c r="A558" s="13" t="str">
        <x:v>☐</x:v>
      </x:c>
      <x:c r="B558" s="11" t="n">
        <x:v>432</x:v>
      </x:c>
      <x:c r="C558" s="15" t="e">
        <x:f>HYPERLINK("https://pokecottage.com/pokemon-master-sets/purugly","Purugly")</x:f>
        <x:v>HYPERLINK is not implemented. linkLocation=https://pokecottage.com/pokemon-master-sets/purugly, friendlyName=Purugly</x:v>
      </x:c>
      <x:c r="D558" s="7" t="str">
        <x:v>Gen 4 • Sinnoh</x:v>
      </x:c>
      <x:c r="E558" s="7"/>
      <x:c r="F558" s="7"/>
    </x:row>
    <x:row r="559" ht="25" customHeight="1">
      <x:c r="A559" s="14" t="str">
        <x:v>☐</x:v>
      </x:c>
      <x:c r="B559" s="12" t="n">
        <x:v>433</x:v>
      </x:c>
      <x:c r="C559" s="16" t="e">
        <x:f>HYPERLINK("https://pokecottage.com/pokemon-master-sets/chingling","Chingling")</x:f>
        <x:v>HYPERLINK is not implemented. linkLocation=https://pokecottage.com/pokemon-master-sets/chingling, friendlyName=Chingling</x:v>
      </x:c>
      <x:c r="D559" s="8" t="str">
        <x:v>Gen 4 • Sinnoh</x:v>
      </x:c>
      <x:c r="E559" s="8"/>
      <x:c r="F559" s="8"/>
    </x:row>
    <x:row r="560" ht="25" customHeight="1">
      <x:c r="A560" s="13" t="str">
        <x:v>☐</x:v>
      </x:c>
      <x:c r="B560" s="11" t="n">
        <x:v>434</x:v>
      </x:c>
      <x:c r="C560" s="15" t="e">
        <x:f>HYPERLINK("https://pokecottage.com/pokemon-master-sets/stunky","Stunky")</x:f>
        <x:v>HYPERLINK is not implemented. linkLocation=https://pokecottage.com/pokemon-master-sets/stunky, friendlyName=Stunky</x:v>
      </x:c>
      <x:c r="D560" s="7" t="str">
        <x:v>Gen 4 • Sinnoh</x:v>
      </x:c>
      <x:c r="E560" s="7"/>
      <x:c r="F560" s="7"/>
    </x:row>
    <x:row r="561" ht="25" customHeight="1">
      <x:c r="A561" s="14" t="str">
        <x:v>☐</x:v>
      </x:c>
      <x:c r="B561" s="12" t="n">
        <x:v>435</x:v>
      </x:c>
      <x:c r="C561" s="16" t="e">
        <x:f>HYPERLINK("https://pokecottage.com/pokemon-master-sets/skuntank","Skuntank")</x:f>
        <x:v>HYPERLINK is not implemented. linkLocation=https://pokecottage.com/pokemon-master-sets/skuntank, friendlyName=Skuntank</x:v>
      </x:c>
      <x:c r="D561" s="8" t="str">
        <x:v>Gen 4 • Sinnoh</x:v>
      </x:c>
      <x:c r="E561" s="8"/>
      <x:c r="F561" s="8"/>
    </x:row>
    <x:row r="562" ht="25" customHeight="1">
      <x:c r="A562" s="13" t="str">
        <x:v>☐</x:v>
      </x:c>
      <x:c r="B562" s="11" t="n">
        <x:v>436</x:v>
      </x:c>
      <x:c r="C562" s="15" t="e">
        <x:f>HYPERLINK("https://pokecottage.com/pokemon-master-sets/bronzor","Bronzor")</x:f>
        <x:v>HYPERLINK is not implemented. linkLocation=https://pokecottage.com/pokemon-master-sets/bronzor, friendlyName=Bronzor</x:v>
      </x:c>
      <x:c r="D562" s="7" t="str">
        <x:v>Gen 4 • Sinnoh</x:v>
      </x:c>
      <x:c r="E562" s="7"/>
      <x:c r="F562" s="7"/>
    </x:row>
    <x:row r="563" ht="25" customHeight="1">
      <x:c r="A563" s="14" t="str">
        <x:v>☐</x:v>
      </x:c>
      <x:c r="B563" s="12" t="n">
        <x:v>437</x:v>
      </x:c>
      <x:c r="C563" s="16" t="e">
        <x:f>HYPERLINK("https://pokecottage.com/pokemon-master-sets/bronzong","Bronzong")</x:f>
        <x:v>HYPERLINK is not implemented. linkLocation=https://pokecottage.com/pokemon-master-sets/bronzong, friendlyName=Bronzong</x:v>
      </x:c>
      <x:c r="D563" s="8" t="str">
        <x:v>Gen 4 • Sinnoh</x:v>
      </x:c>
      <x:c r="E563" s="8"/>
      <x:c r="F563" s="8"/>
    </x:row>
    <x:row r="564" ht="25" customHeight="1">
      <x:c r="A564" s="13" t="str">
        <x:v>☐</x:v>
      </x:c>
      <x:c r="B564" s="11" t="n">
        <x:v>438</x:v>
      </x:c>
      <x:c r="C564" s="15" t="e">
        <x:f>HYPERLINK("https://pokecottage.com/pokemon-master-sets/bonsly","Bonsly")</x:f>
        <x:v>HYPERLINK is not implemented. linkLocation=https://pokecottage.com/pokemon-master-sets/bonsly, friendlyName=Bonsly</x:v>
      </x:c>
      <x:c r="D564" s="7" t="str">
        <x:v>Gen 4 • Sinnoh</x:v>
      </x:c>
      <x:c r="E564" s="7"/>
      <x:c r="F564" s="7"/>
    </x:row>
    <x:row r="565" ht="25" customHeight="1">
      <x:c r="A565" s="14" t="str">
        <x:v>☐</x:v>
      </x:c>
      <x:c r="B565" s="12" t="n">
        <x:v>439</x:v>
      </x:c>
      <x:c r="C565" s="16" t="e">
        <x:f>HYPERLINK("https://pokecottage.com/pokemon-master-sets/mime-jr","Mime Jr.")</x:f>
        <x:v>HYPERLINK is not implemented. linkLocation=https://pokecottage.com/pokemon-master-sets/mime-jr, friendlyName=Mime Jr.</x:v>
      </x:c>
      <x:c r="D565" s="8" t="str">
        <x:v>Gen 4 • Sinnoh</x:v>
      </x:c>
      <x:c r="E565" s="8"/>
      <x:c r="F565" s="8"/>
    </x:row>
    <x:row r="566" ht="25" customHeight="1">
      <x:c r="A566" s="13" t="str">
        <x:v>☐</x:v>
      </x:c>
      <x:c r="B566" s="11" t="n">
        <x:v>440</x:v>
      </x:c>
      <x:c r="C566" s="15" t="e">
        <x:f>HYPERLINK("https://pokecottage.com/pokemon-master-sets/happiny","Happiny")</x:f>
        <x:v>HYPERLINK is not implemented. linkLocation=https://pokecottage.com/pokemon-master-sets/happiny, friendlyName=Happiny</x:v>
      </x:c>
      <x:c r="D566" s="7" t="str">
        <x:v>Gen 4 • Sinnoh</x:v>
      </x:c>
      <x:c r="E566" s="7"/>
      <x:c r="F566" s="7"/>
    </x:row>
    <x:row r="567" ht="25" customHeight="1">
      <x:c r="A567" s="14" t="str">
        <x:v>☐</x:v>
      </x:c>
      <x:c r="B567" s="12" t="n">
        <x:v>441</x:v>
      </x:c>
      <x:c r="C567" s="16" t="e">
        <x:f>HYPERLINK("https://pokecottage.com/pokemon-master-sets/chatot","Chatot")</x:f>
        <x:v>HYPERLINK is not implemented. linkLocation=https://pokecottage.com/pokemon-master-sets/chatot, friendlyName=Chatot</x:v>
      </x:c>
      <x:c r="D567" s="8" t="str">
        <x:v>Gen 4 • Sinnoh</x:v>
      </x:c>
      <x:c r="E567" s="8"/>
      <x:c r="F567" s="8"/>
    </x:row>
    <x:row r="568" ht="25" customHeight="1">
      <x:c r="A568" s="13" t="str">
        <x:v>☐</x:v>
      </x:c>
      <x:c r="B568" s="11" t="n">
        <x:v>442</x:v>
      </x:c>
      <x:c r="C568" s="15" t="e">
        <x:f>HYPERLINK("https://pokecottage.com/pokemon-master-sets/spiritomb","Spiritomb")</x:f>
        <x:v>HYPERLINK is not implemented. linkLocation=https://pokecottage.com/pokemon-master-sets/spiritomb, friendlyName=Spiritomb</x:v>
      </x:c>
      <x:c r="D568" s="7" t="str">
        <x:v>Gen 4 • Sinnoh</x:v>
      </x:c>
      <x:c r="E568" s="7"/>
      <x:c r="F568" s="7"/>
    </x:row>
    <x:row r="569" ht="25" customHeight="1">
      <x:c r="A569" s="14" t="str">
        <x:v>☐</x:v>
      </x:c>
      <x:c r="B569" s="12" t="n">
        <x:v>443</x:v>
      </x:c>
      <x:c r="C569" s="16" t="e">
        <x:f>HYPERLINK("https://pokecottage.com/pokemon-master-sets/gible","Gible")</x:f>
        <x:v>HYPERLINK is not implemented. linkLocation=https://pokecottage.com/pokemon-master-sets/gible, friendlyName=Gible</x:v>
      </x:c>
      <x:c r="D569" s="8" t="str">
        <x:v>Gen 4 • Sinnoh</x:v>
      </x:c>
      <x:c r="E569" s="8"/>
      <x:c r="F569" s="8"/>
    </x:row>
    <x:row r="570" ht="25" customHeight="1">
      <x:c r="A570" s="13" t="str">
        <x:v>☐</x:v>
      </x:c>
      <x:c r="B570" s="11" t="n">
        <x:v>444</x:v>
      </x:c>
      <x:c r="C570" s="15" t="e">
        <x:f>HYPERLINK("https://pokecottage.com/pokemon-master-sets/gabite","Gabite")</x:f>
        <x:v>HYPERLINK is not implemented. linkLocation=https://pokecottage.com/pokemon-master-sets/gabite, friendlyName=Gabite</x:v>
      </x:c>
      <x:c r="D570" s="7" t="str">
        <x:v>Gen 4 • Sinnoh</x:v>
      </x:c>
      <x:c r="E570" s="7"/>
      <x:c r="F570" s="7"/>
    </x:row>
    <x:row r="571" ht="25" customHeight="1">
      <x:c r="A571" s="14" t="str">
        <x:v>☐</x:v>
      </x:c>
      <x:c r="B571" s="12" t="n">
        <x:v>445</x:v>
      </x:c>
      <x:c r="C571" s="16" t="e">
        <x:f>HYPERLINK("https://pokecottage.com/pokemon-master-sets/garchomp","Garchomp")</x:f>
        <x:v>HYPERLINK is not implemented. linkLocation=https://pokecottage.com/pokemon-master-sets/garchomp, friendlyName=Garchomp</x:v>
      </x:c>
      <x:c r="D571" s="8" t="str">
        <x:v>Gen 4 • Sinnoh</x:v>
      </x:c>
      <x:c r="E571" s="8"/>
      <x:c r="F571" s="8"/>
    </x:row>
    <x:row r="572" ht="25" customHeight="1">
      <x:c r="A572" s="13" t="str">
        <x:v>☐</x:v>
      </x:c>
      <x:c r="B572" s="11" t="n">
        <x:v>445</x:v>
      </x:c>
      <x:c r="C572" s="15" t="e">
        <x:f>HYPERLINK("https://pokecottage.com/pokemon-master-sets/garchomp","Mega Garchomp")</x:f>
        <x:v>HYPERLINK is not implemented. linkLocation=https://pokecottage.com/pokemon-master-sets/garchomp, friendlyName=Mega Garchomp</x:v>
      </x:c>
      <x:c r="D572" s="7" t="str">
        <x:v>Mega Evolution</x:v>
      </x:c>
      <x:c r="E572" s="7"/>
      <x:c r="F572" s="7"/>
    </x:row>
    <x:row r="573" ht="25" customHeight="1">
      <x:c r="A573" s="14" t="str">
        <x:v>☐</x:v>
      </x:c>
      <x:c r="B573" s="12" t="n">
        <x:v>445</x:v>
      </x:c>
      <x:c r="C573" s="16" t="e">
        <x:f>HYPERLINK("https://pokecottage.com/pokemon-master-sets/garchomp","Mega Garchomp Z")</x:f>
        <x:v>HYPERLINK is not implemented. linkLocation=https://pokecottage.com/pokemon-master-sets/garchomp, friendlyName=Mega Garchomp Z</x:v>
      </x:c>
      <x:c r="D573" s="8" t="str">
        <x:v>Mega Evolution</x:v>
      </x:c>
      <x:c r="E573" s="8"/>
      <x:c r="F573" s="8"/>
    </x:row>
    <x:row r="574" ht="25" customHeight="1">
      <x:c r="A574" s="13" t="str">
        <x:v>☐</x:v>
      </x:c>
      <x:c r="B574" s="11" t="n">
        <x:v>446</x:v>
      </x:c>
      <x:c r="C574" s="15" t="e">
        <x:f>HYPERLINK("https://pokecottage.com/pokemon-master-sets/munchlax","Munchlax")</x:f>
        <x:v>HYPERLINK is not implemented. linkLocation=https://pokecottage.com/pokemon-master-sets/munchlax, friendlyName=Munchlax</x:v>
      </x:c>
      <x:c r="D574" s="7" t="str">
        <x:v>Gen 4 • Sinnoh</x:v>
      </x:c>
      <x:c r="E574" s="7"/>
      <x:c r="F574" s="7"/>
    </x:row>
    <x:row r="575" ht="25" customHeight="1">
      <x:c r="A575" s="14" t="str">
        <x:v>☐</x:v>
      </x:c>
      <x:c r="B575" s="12" t="n">
        <x:v>447</x:v>
      </x:c>
      <x:c r="C575" s="16" t="e">
        <x:f>HYPERLINK("https://pokecottage.com/pokemon-master-sets/riolu","Riolu")</x:f>
        <x:v>HYPERLINK is not implemented. linkLocation=https://pokecottage.com/pokemon-master-sets/riolu, friendlyName=Riolu</x:v>
      </x:c>
      <x:c r="D575" s="8" t="str">
        <x:v>Gen 4 • Sinnoh</x:v>
      </x:c>
      <x:c r="E575" s="8"/>
      <x:c r="F575" s="8"/>
    </x:row>
    <x:row r="576" ht="25" customHeight="1">
      <x:c r="A576" s="13" t="str">
        <x:v>☐</x:v>
      </x:c>
      <x:c r="B576" s="11" t="n">
        <x:v>448</x:v>
      </x:c>
      <x:c r="C576" s="15" t="e">
        <x:f>HYPERLINK("https://pokecottage.com/pokemon-master-sets/lucario","Lucario")</x:f>
        <x:v>HYPERLINK is not implemented. linkLocation=https://pokecottage.com/pokemon-master-sets/lucario, friendlyName=Lucario</x:v>
      </x:c>
      <x:c r="D576" s="7" t="str">
        <x:v>Gen 4 • Sinnoh</x:v>
      </x:c>
      <x:c r="E576" s="7"/>
      <x:c r="F576" s="7"/>
    </x:row>
    <x:row r="577" ht="25" customHeight="1">
      <x:c r="A577" s="14" t="str">
        <x:v>☐</x:v>
      </x:c>
      <x:c r="B577" s="12" t="n">
        <x:v>448</x:v>
      </x:c>
      <x:c r="C577" s="16" t="e">
        <x:f>HYPERLINK("https://pokecottage.com/pokemon-master-sets/lucario","Mega Lucario")</x:f>
        <x:v>HYPERLINK is not implemented. linkLocation=https://pokecottage.com/pokemon-master-sets/lucario, friendlyName=Mega Lucario</x:v>
      </x:c>
      <x:c r="D577" s="8" t="str">
        <x:v>Mega Evolution</x:v>
      </x:c>
      <x:c r="E577" s="8"/>
      <x:c r="F577" s="8"/>
    </x:row>
    <x:row r="578" ht="25" customHeight="1">
      <x:c r="A578" s="13" t="str">
        <x:v>☐</x:v>
      </x:c>
      <x:c r="B578" s="11" t="n">
        <x:v>448</x:v>
      </x:c>
      <x:c r="C578" s="15" t="e">
        <x:f>HYPERLINK("https://pokecottage.com/pokemon-master-sets/lucario","Mega Lucario Z")</x:f>
        <x:v>HYPERLINK is not implemented. linkLocation=https://pokecottage.com/pokemon-master-sets/lucario, friendlyName=Mega Lucario Z</x:v>
      </x:c>
      <x:c r="D578" s="7" t="str">
        <x:v>Mega Evolution</x:v>
      </x:c>
      <x:c r="E578" s="7"/>
      <x:c r="F578" s="7"/>
    </x:row>
    <x:row r="579" ht="25" customHeight="1">
      <x:c r="A579" s="14" t="str">
        <x:v>☐</x:v>
      </x:c>
      <x:c r="B579" s="12" t="n">
        <x:v>449</x:v>
      </x:c>
      <x:c r="C579" s="16" t="e">
        <x:f>HYPERLINK("https://pokecottage.com/pokemon-master-sets/hippopotas","Hippopotas")</x:f>
        <x:v>HYPERLINK is not implemented. linkLocation=https://pokecottage.com/pokemon-master-sets/hippopotas, friendlyName=Hippopotas</x:v>
      </x:c>
      <x:c r="D579" s="8" t="str">
        <x:v>Gen 4 • Sinnoh</x:v>
      </x:c>
      <x:c r="E579" s="8"/>
      <x:c r="F579" s="8"/>
    </x:row>
    <x:row r="580" ht="25" customHeight="1">
      <x:c r="A580" s="13" t="str">
        <x:v>☐</x:v>
      </x:c>
      <x:c r="B580" s="11" t="n">
        <x:v>450</x:v>
      </x:c>
      <x:c r="C580" s="15" t="e">
        <x:f>HYPERLINK("https://pokecottage.com/pokemon-master-sets/hippowdon","Hippowdon")</x:f>
        <x:v>HYPERLINK is not implemented. linkLocation=https://pokecottage.com/pokemon-master-sets/hippowdon, friendlyName=Hippowdon</x:v>
      </x:c>
      <x:c r="D580" s="7" t="str">
        <x:v>Gen 4 • Sinnoh</x:v>
      </x:c>
      <x:c r="E580" s="7"/>
      <x:c r="F580" s="7"/>
    </x:row>
    <x:row r="581" ht="25" customHeight="1">
      <x:c r="A581" s="14" t="str">
        <x:v>☐</x:v>
      </x:c>
      <x:c r="B581" s="12" t="n">
        <x:v>451</x:v>
      </x:c>
      <x:c r="C581" s="16" t="e">
        <x:f>HYPERLINK("https://pokecottage.com/pokemon-master-sets/skorupi","Skorupi")</x:f>
        <x:v>HYPERLINK is not implemented. linkLocation=https://pokecottage.com/pokemon-master-sets/skorupi, friendlyName=Skorupi</x:v>
      </x:c>
      <x:c r="D581" s="8" t="str">
        <x:v>Gen 4 • Sinnoh</x:v>
      </x:c>
      <x:c r="E581" s="8"/>
      <x:c r="F581" s="8"/>
    </x:row>
    <x:row r="582" ht="25" customHeight="1">
      <x:c r="A582" s="13" t="str">
        <x:v>☐</x:v>
      </x:c>
      <x:c r="B582" s="11" t="n">
        <x:v>452</x:v>
      </x:c>
      <x:c r="C582" s="15" t="e">
        <x:f>HYPERLINK("https://pokecottage.com/pokemon-master-sets/drapion","Drapion")</x:f>
        <x:v>HYPERLINK is not implemented. linkLocation=https://pokecottage.com/pokemon-master-sets/drapion, friendlyName=Drapion</x:v>
      </x:c>
      <x:c r="D582" s="7" t="str">
        <x:v>Gen 4 • Sinnoh</x:v>
      </x:c>
      <x:c r="E582" s="7"/>
      <x:c r="F582" s="7"/>
    </x:row>
    <x:row r="583" ht="25" customHeight="1">
      <x:c r="A583" s="14" t="str">
        <x:v>☐</x:v>
      </x:c>
      <x:c r="B583" s="12" t="n">
        <x:v>453</x:v>
      </x:c>
      <x:c r="C583" s="16" t="e">
        <x:f>HYPERLINK("https://pokecottage.com/pokemon-master-sets/croagunk","Croagunk")</x:f>
        <x:v>HYPERLINK is not implemented. linkLocation=https://pokecottage.com/pokemon-master-sets/croagunk, friendlyName=Croagunk</x:v>
      </x:c>
      <x:c r="D583" s="8" t="str">
        <x:v>Gen 4 • Sinnoh</x:v>
      </x:c>
      <x:c r="E583" s="8"/>
      <x:c r="F583" s="8"/>
    </x:row>
    <x:row r="584" ht="25" customHeight="1">
      <x:c r="A584" s="13" t="str">
        <x:v>☐</x:v>
      </x:c>
      <x:c r="B584" s="11" t="n">
        <x:v>454</x:v>
      </x:c>
      <x:c r="C584" s="15" t="e">
        <x:f>HYPERLINK("https://pokecottage.com/pokemon-master-sets/toxicroak","Toxicroak")</x:f>
        <x:v>HYPERLINK is not implemented. linkLocation=https://pokecottage.com/pokemon-master-sets/toxicroak, friendlyName=Toxicroak</x:v>
      </x:c>
      <x:c r="D584" s="7" t="str">
        <x:v>Gen 4 • Sinnoh</x:v>
      </x:c>
      <x:c r="E584" s="7"/>
      <x:c r="F584" s="7"/>
    </x:row>
    <x:row r="585" ht="25" customHeight="1">
      <x:c r="A585" s="14" t="str">
        <x:v>☐</x:v>
      </x:c>
      <x:c r="B585" s="12" t="n">
        <x:v>455</x:v>
      </x:c>
      <x:c r="C585" s="16" t="e">
        <x:f>HYPERLINK("https://pokecottage.com/pokemon-master-sets/carnivine","Carnivine")</x:f>
        <x:v>HYPERLINK is not implemented. linkLocation=https://pokecottage.com/pokemon-master-sets/carnivine, friendlyName=Carnivine</x:v>
      </x:c>
      <x:c r="D585" s="8" t="str">
        <x:v>Gen 4 • Sinnoh</x:v>
      </x:c>
      <x:c r="E585" s="8"/>
      <x:c r="F585" s="8"/>
    </x:row>
    <x:row r="586" ht="25" customHeight="1">
      <x:c r="A586" s="13" t="str">
        <x:v>☐</x:v>
      </x:c>
      <x:c r="B586" s="11" t="n">
        <x:v>456</x:v>
      </x:c>
      <x:c r="C586" s="15" t="e">
        <x:f>HYPERLINK("https://pokecottage.com/pokemon-master-sets/finneon","Finneon")</x:f>
        <x:v>HYPERLINK is not implemented. linkLocation=https://pokecottage.com/pokemon-master-sets/finneon, friendlyName=Finneon</x:v>
      </x:c>
      <x:c r="D586" s="7" t="str">
        <x:v>Gen 4 • Sinnoh</x:v>
      </x:c>
      <x:c r="E586" s="7"/>
      <x:c r="F586" s="7"/>
    </x:row>
    <x:row r="587" ht="25" customHeight="1">
      <x:c r="A587" s="14" t="str">
        <x:v>☐</x:v>
      </x:c>
      <x:c r="B587" s="12" t="n">
        <x:v>457</x:v>
      </x:c>
      <x:c r="C587" s="16" t="e">
        <x:f>HYPERLINK("https://pokecottage.com/pokemon-master-sets/lumineon","Lumineon")</x:f>
        <x:v>HYPERLINK is not implemented. linkLocation=https://pokecottage.com/pokemon-master-sets/lumineon, friendlyName=Lumineon</x:v>
      </x:c>
      <x:c r="D587" s="8" t="str">
        <x:v>Gen 4 • Sinnoh</x:v>
      </x:c>
      <x:c r="E587" s="8"/>
      <x:c r="F587" s="8"/>
    </x:row>
    <x:row r="588" ht="25" customHeight="1">
      <x:c r="A588" s="13" t="str">
        <x:v>☐</x:v>
      </x:c>
      <x:c r="B588" s="11" t="n">
        <x:v>458</x:v>
      </x:c>
      <x:c r="C588" s="15" t="e">
        <x:f>HYPERLINK("https://pokecottage.com/pokemon-master-sets/mantyke","Mantyke")</x:f>
        <x:v>HYPERLINK is not implemented. linkLocation=https://pokecottage.com/pokemon-master-sets/mantyke, friendlyName=Mantyke</x:v>
      </x:c>
      <x:c r="D588" s="7" t="str">
        <x:v>Gen 4 • Sinnoh</x:v>
      </x:c>
      <x:c r="E588" s="7"/>
      <x:c r="F588" s="7"/>
    </x:row>
    <x:row r="589" ht="25" customHeight="1">
      <x:c r="A589" s="14" t="str">
        <x:v>☐</x:v>
      </x:c>
      <x:c r="B589" s="12" t="n">
        <x:v>459</x:v>
      </x:c>
      <x:c r="C589" s="16" t="e">
        <x:f>HYPERLINK("https://pokecottage.com/pokemon-master-sets/snover","Snover")</x:f>
        <x:v>HYPERLINK is not implemented. linkLocation=https://pokecottage.com/pokemon-master-sets/snover, friendlyName=Snover</x:v>
      </x:c>
      <x:c r="D589" s="8" t="str">
        <x:v>Gen 4 • Sinnoh</x:v>
      </x:c>
      <x:c r="E589" s="8"/>
      <x:c r="F589" s="8"/>
    </x:row>
    <x:row r="590" ht="25" customHeight="1">
      <x:c r="A590" s="13" t="str">
        <x:v>☐</x:v>
      </x:c>
      <x:c r="B590" s="11" t="n">
        <x:v>460</x:v>
      </x:c>
      <x:c r="C590" s="15" t="e">
        <x:f>HYPERLINK("https://pokecottage.com/pokemon-master-sets/abomasnow","Abomasnow")</x:f>
        <x:v>HYPERLINK is not implemented. linkLocation=https://pokecottage.com/pokemon-master-sets/abomasnow, friendlyName=Abomasnow</x:v>
      </x:c>
      <x:c r="D590" s="7" t="str">
        <x:v>Gen 4 • Sinnoh</x:v>
      </x:c>
      <x:c r="E590" s="7"/>
      <x:c r="F590" s="7"/>
    </x:row>
    <x:row r="591" ht="25" customHeight="1">
      <x:c r="A591" s="14" t="str">
        <x:v>☐</x:v>
      </x:c>
      <x:c r="B591" s="12" t="n">
        <x:v>460</x:v>
      </x:c>
      <x:c r="C591" s="16" t="e">
        <x:f>HYPERLINK("https://pokecottage.com/pokemon-master-sets/abomasnow","Mega Abomasnow")</x:f>
        <x:v>HYPERLINK is not implemented. linkLocation=https://pokecottage.com/pokemon-master-sets/abomasnow, friendlyName=Mega Abomasnow</x:v>
      </x:c>
      <x:c r="D591" s="8" t="str">
        <x:v>Mega Evolution</x:v>
      </x:c>
      <x:c r="E591" s="8"/>
      <x:c r="F591" s="8"/>
    </x:row>
    <x:row r="592" ht="25" customHeight="1">
      <x:c r="A592" s="13" t="str">
        <x:v>☐</x:v>
      </x:c>
      <x:c r="B592" s="11" t="n">
        <x:v>461</x:v>
      </x:c>
      <x:c r="C592" s="15" t="e">
        <x:f>HYPERLINK("https://pokecottage.com/pokemon-master-sets/weavile","Weavile")</x:f>
        <x:v>HYPERLINK is not implemented. linkLocation=https://pokecottage.com/pokemon-master-sets/weavile, friendlyName=Weavile</x:v>
      </x:c>
      <x:c r="D592" s="7" t="str">
        <x:v>Gen 4 • Sinnoh</x:v>
      </x:c>
      <x:c r="E592" s="7"/>
      <x:c r="F592" s="7"/>
    </x:row>
    <x:row r="593" ht="25" customHeight="1">
      <x:c r="A593" s="14" t="str">
        <x:v>☐</x:v>
      </x:c>
      <x:c r="B593" s="12" t="n">
        <x:v>462</x:v>
      </x:c>
      <x:c r="C593" s="16" t="e">
        <x:f>HYPERLINK("https://pokecottage.com/pokemon-master-sets/magnezone","Magnezone")</x:f>
        <x:v>HYPERLINK is not implemented. linkLocation=https://pokecottage.com/pokemon-master-sets/magnezone, friendlyName=Magnezone</x:v>
      </x:c>
      <x:c r="D593" s="8" t="str">
        <x:v>Gen 4 • Sinnoh</x:v>
      </x:c>
      <x:c r="E593" s="8"/>
      <x:c r="F593" s="8"/>
    </x:row>
    <x:row r="594" ht="25" customHeight="1">
      <x:c r="A594" s="13" t="str">
        <x:v>☐</x:v>
      </x:c>
      <x:c r="B594" s="11" t="n">
        <x:v>463</x:v>
      </x:c>
      <x:c r="C594" s="15" t="e">
        <x:f>HYPERLINK("https://pokecottage.com/pokemon-master-sets/lickilicky","Lickilicky")</x:f>
        <x:v>HYPERLINK is not implemented. linkLocation=https://pokecottage.com/pokemon-master-sets/lickilicky, friendlyName=Lickilicky</x:v>
      </x:c>
      <x:c r="D594" s="7" t="str">
        <x:v>Gen 4 • Sinnoh</x:v>
      </x:c>
      <x:c r="E594" s="7"/>
      <x:c r="F594" s="7"/>
    </x:row>
    <x:row r="595" ht="25" customHeight="1">
      <x:c r="A595" s="14" t="str">
        <x:v>☐</x:v>
      </x:c>
      <x:c r="B595" s="12" t="n">
        <x:v>464</x:v>
      </x:c>
      <x:c r="C595" s="16" t="e">
        <x:f>HYPERLINK("https://pokecottage.com/pokemon-master-sets/rhyperior","Rhyperior")</x:f>
        <x:v>HYPERLINK is not implemented. linkLocation=https://pokecottage.com/pokemon-master-sets/rhyperior, friendlyName=Rhyperior</x:v>
      </x:c>
      <x:c r="D595" s="8" t="str">
        <x:v>Gen 4 • Sinnoh</x:v>
      </x:c>
      <x:c r="E595" s="8"/>
      <x:c r="F595" s="8"/>
    </x:row>
    <x:row r="596" ht="25" customHeight="1">
      <x:c r="A596" s="13" t="str">
        <x:v>☐</x:v>
      </x:c>
      <x:c r="B596" s="11" t="n">
        <x:v>465</x:v>
      </x:c>
      <x:c r="C596" s="15" t="e">
        <x:f>HYPERLINK("https://pokecottage.com/pokemon-master-sets/tangrowth","Tangrowth")</x:f>
        <x:v>HYPERLINK is not implemented. linkLocation=https://pokecottage.com/pokemon-master-sets/tangrowth, friendlyName=Tangrowth</x:v>
      </x:c>
      <x:c r="D596" s="7" t="str">
        <x:v>Gen 4 • Sinnoh</x:v>
      </x:c>
      <x:c r="E596" s="7"/>
      <x:c r="F596" s="7"/>
    </x:row>
    <x:row r="597" ht="25" customHeight="1">
      <x:c r="A597" s="14" t="str">
        <x:v>☐</x:v>
      </x:c>
      <x:c r="B597" s="12" t="n">
        <x:v>466</x:v>
      </x:c>
      <x:c r="C597" s="16" t="e">
        <x:f>HYPERLINK("https://pokecottage.com/pokemon-master-sets/electivire","Electivire")</x:f>
        <x:v>HYPERLINK is not implemented. linkLocation=https://pokecottage.com/pokemon-master-sets/electivire, friendlyName=Electivire</x:v>
      </x:c>
      <x:c r="D597" s="8" t="str">
        <x:v>Gen 4 • Sinnoh</x:v>
      </x:c>
      <x:c r="E597" s="8"/>
      <x:c r="F597" s="8"/>
    </x:row>
    <x:row r="598" ht="25" customHeight="1">
      <x:c r="A598" s="13" t="str">
        <x:v>☐</x:v>
      </x:c>
      <x:c r="B598" s="11" t="n">
        <x:v>467</x:v>
      </x:c>
      <x:c r="C598" s="15" t="e">
        <x:f>HYPERLINK("https://pokecottage.com/pokemon-master-sets/magmortar","Magmortar")</x:f>
        <x:v>HYPERLINK is not implemented. linkLocation=https://pokecottage.com/pokemon-master-sets/magmortar, friendlyName=Magmortar</x:v>
      </x:c>
      <x:c r="D598" s="7" t="str">
        <x:v>Gen 4 • Sinnoh</x:v>
      </x:c>
      <x:c r="E598" s="7"/>
      <x:c r="F598" s="7"/>
    </x:row>
    <x:row r="599" ht="25" customHeight="1">
      <x:c r="A599" s="14" t="str">
        <x:v>☐</x:v>
      </x:c>
      <x:c r="B599" s="12" t="n">
        <x:v>468</x:v>
      </x:c>
      <x:c r="C599" s="16" t="e">
        <x:f>HYPERLINK("https://pokecottage.com/pokemon-master-sets/togekiss","Togekiss")</x:f>
        <x:v>HYPERLINK is not implemented. linkLocation=https://pokecottage.com/pokemon-master-sets/togekiss, friendlyName=Togekiss</x:v>
      </x:c>
      <x:c r="D599" s="8" t="str">
        <x:v>Gen 4 • Sinnoh</x:v>
      </x:c>
      <x:c r="E599" s="8"/>
      <x:c r="F599" s="8"/>
    </x:row>
    <x:row r="600" ht="25" customHeight="1">
      <x:c r="A600" s="13" t="str">
        <x:v>☐</x:v>
      </x:c>
      <x:c r="B600" s="11" t="n">
        <x:v>469</x:v>
      </x:c>
      <x:c r="C600" s="15" t="e">
        <x:f>HYPERLINK("https://pokecottage.com/pokemon-master-sets/yanmega","Yanmega")</x:f>
        <x:v>HYPERLINK is not implemented. linkLocation=https://pokecottage.com/pokemon-master-sets/yanmega, friendlyName=Yanmega</x:v>
      </x:c>
      <x:c r="D600" s="7" t="str">
        <x:v>Gen 4 • Sinnoh</x:v>
      </x:c>
      <x:c r="E600" s="7"/>
      <x:c r="F600" s="7"/>
    </x:row>
    <x:row r="601" ht="25" customHeight="1">
      <x:c r="A601" s="14" t="str">
        <x:v>☐</x:v>
      </x:c>
      <x:c r="B601" s="12" t="n">
        <x:v>470</x:v>
      </x:c>
      <x:c r="C601" s="16" t="e">
        <x:f>HYPERLINK("https://pokecottage.com/pokemon-master-sets/leafeon","Leafeon")</x:f>
        <x:v>HYPERLINK is not implemented. linkLocation=https://pokecottage.com/pokemon-master-sets/leafeon, friendlyName=Leafeon</x:v>
      </x:c>
      <x:c r="D601" s="8" t="str">
        <x:v>Gen 4 • Sinnoh</x:v>
      </x:c>
      <x:c r="E601" s="8"/>
      <x:c r="F601" s="8"/>
    </x:row>
    <x:row r="602" ht="25" customHeight="1">
      <x:c r="A602" s="13" t="str">
        <x:v>☐</x:v>
      </x:c>
      <x:c r="B602" s="11" t="n">
        <x:v>471</x:v>
      </x:c>
      <x:c r="C602" s="15" t="e">
        <x:f>HYPERLINK("https://pokecottage.com/pokemon-master-sets/glaceon","Glaceon")</x:f>
        <x:v>HYPERLINK is not implemented. linkLocation=https://pokecottage.com/pokemon-master-sets/glaceon, friendlyName=Glaceon</x:v>
      </x:c>
      <x:c r="D602" s="7" t="str">
        <x:v>Gen 4 • Sinnoh</x:v>
      </x:c>
      <x:c r="E602" s="7"/>
      <x:c r="F602" s="7"/>
    </x:row>
    <x:row r="603" ht="25" customHeight="1">
      <x:c r="A603" s="14" t="str">
        <x:v>☐</x:v>
      </x:c>
      <x:c r="B603" s="12" t="n">
        <x:v>472</x:v>
      </x:c>
      <x:c r="C603" s="16" t="e">
        <x:f>HYPERLINK("https://pokecottage.com/pokemon-master-sets/gliscor","Gliscor")</x:f>
        <x:v>HYPERLINK is not implemented. linkLocation=https://pokecottage.com/pokemon-master-sets/gliscor, friendlyName=Gliscor</x:v>
      </x:c>
      <x:c r="D603" s="8" t="str">
        <x:v>Gen 4 • Sinnoh</x:v>
      </x:c>
      <x:c r="E603" s="8"/>
      <x:c r="F603" s="8"/>
    </x:row>
    <x:row r="604" ht="25" customHeight="1">
      <x:c r="A604" s="13" t="str">
        <x:v>☐</x:v>
      </x:c>
      <x:c r="B604" s="11" t="n">
        <x:v>473</x:v>
      </x:c>
      <x:c r="C604" s="15" t="e">
        <x:f>HYPERLINK("https://pokecottage.com/pokemon-master-sets/mamoswine","Mamoswine")</x:f>
        <x:v>HYPERLINK is not implemented. linkLocation=https://pokecottage.com/pokemon-master-sets/mamoswine, friendlyName=Mamoswine</x:v>
      </x:c>
      <x:c r="D604" s="7" t="str">
        <x:v>Gen 4 • Sinnoh</x:v>
      </x:c>
      <x:c r="E604" s="7"/>
      <x:c r="F604" s="7"/>
    </x:row>
    <x:row r="605" ht="25" customHeight="1">
      <x:c r="A605" s="14" t="str">
        <x:v>☐</x:v>
      </x:c>
      <x:c r="B605" s="12" t="n">
        <x:v>474</x:v>
      </x:c>
      <x:c r="C605" s="16" t="e">
        <x:f>HYPERLINK("https://pokecottage.com/pokemon-master-sets/porygon-z","Porygon-Z")</x:f>
        <x:v>HYPERLINK is not implemented. linkLocation=https://pokecottage.com/pokemon-master-sets/porygon-z, friendlyName=Porygon-Z</x:v>
      </x:c>
      <x:c r="D605" s="8" t="str">
        <x:v>Gen 4 • Sinnoh</x:v>
      </x:c>
      <x:c r="E605" s="8"/>
      <x:c r="F605" s="8"/>
    </x:row>
    <x:row r="606" ht="25" customHeight="1">
      <x:c r="A606" s="13" t="str">
        <x:v>☐</x:v>
      </x:c>
      <x:c r="B606" s="11" t="n">
        <x:v>475</x:v>
      </x:c>
      <x:c r="C606" s="15" t="e">
        <x:f>HYPERLINK("https://pokecottage.com/pokemon-master-sets/gallade","Gallade")</x:f>
        <x:v>HYPERLINK is not implemented. linkLocation=https://pokecottage.com/pokemon-master-sets/gallade, friendlyName=Gallade</x:v>
      </x:c>
      <x:c r="D606" s="7" t="str">
        <x:v>Gen 4 • Sinnoh</x:v>
      </x:c>
      <x:c r="E606" s="7"/>
      <x:c r="F606" s="7"/>
    </x:row>
    <x:row r="607" ht="25" customHeight="1">
      <x:c r="A607" s="14" t="str">
        <x:v>☐</x:v>
      </x:c>
      <x:c r="B607" s="12" t="n">
        <x:v>475</x:v>
      </x:c>
      <x:c r="C607" s="16" t="e">
        <x:f>HYPERLINK("https://pokecottage.com/pokemon-master-sets/gallade","Mega Gallade")</x:f>
        <x:v>HYPERLINK is not implemented. linkLocation=https://pokecottage.com/pokemon-master-sets/gallade, friendlyName=Mega Gallade</x:v>
      </x:c>
      <x:c r="D607" s="8" t="str">
        <x:v>Mega Evolution</x:v>
      </x:c>
      <x:c r="E607" s="8"/>
      <x:c r="F607" s="8"/>
    </x:row>
    <x:row r="608" ht="25" customHeight="1">
      <x:c r="A608" s="13" t="str">
        <x:v>☐</x:v>
      </x:c>
      <x:c r="B608" s="11" t="n">
        <x:v>476</x:v>
      </x:c>
      <x:c r="C608" s="15" t="e">
        <x:f>HYPERLINK("https://pokecottage.com/pokemon-master-sets/probopass","Probopass")</x:f>
        <x:v>HYPERLINK is not implemented. linkLocation=https://pokecottage.com/pokemon-master-sets/probopass, friendlyName=Probopass</x:v>
      </x:c>
      <x:c r="D608" s="7" t="str">
        <x:v>Gen 4 • Sinnoh</x:v>
      </x:c>
      <x:c r="E608" s="7"/>
      <x:c r="F608" s="7"/>
    </x:row>
    <x:row r="609" ht="25" customHeight="1">
      <x:c r="A609" s="14" t="str">
        <x:v>☐</x:v>
      </x:c>
      <x:c r="B609" s="12" t="n">
        <x:v>477</x:v>
      </x:c>
      <x:c r="C609" s="16" t="e">
        <x:f>HYPERLINK("https://pokecottage.com/pokemon-master-sets/dusknoir","Dusknoir")</x:f>
        <x:v>HYPERLINK is not implemented. linkLocation=https://pokecottage.com/pokemon-master-sets/dusknoir, friendlyName=Dusknoir</x:v>
      </x:c>
      <x:c r="D609" s="8" t="str">
        <x:v>Gen 4 • Sinnoh</x:v>
      </x:c>
      <x:c r="E609" s="8"/>
      <x:c r="F609" s="8"/>
    </x:row>
    <x:row r="610" ht="25" customHeight="1">
      <x:c r="A610" s="13" t="str">
        <x:v>☐</x:v>
      </x:c>
      <x:c r="B610" s="11" t="n">
        <x:v>478</x:v>
      </x:c>
      <x:c r="C610" s="15" t="e">
        <x:f>HYPERLINK("https://pokecottage.com/pokemon-master-sets/froslass","Froslass")</x:f>
        <x:v>HYPERLINK is not implemented. linkLocation=https://pokecottage.com/pokemon-master-sets/froslass, friendlyName=Froslass</x:v>
      </x:c>
      <x:c r="D610" s="7" t="str">
        <x:v>Gen 4 • Sinnoh</x:v>
      </x:c>
      <x:c r="E610" s="7"/>
      <x:c r="F610" s="7"/>
    </x:row>
    <x:row r="611" ht="25" customHeight="1">
      <x:c r="A611" s="14" t="str">
        <x:v>☐</x:v>
      </x:c>
      <x:c r="B611" s="12" t="n">
        <x:v>478</x:v>
      </x:c>
      <x:c r="C611" s="16" t="e">
        <x:f>HYPERLINK("https://pokecottage.com/pokemon-master-sets/froslass","Mega Froslass")</x:f>
        <x:v>HYPERLINK is not implemented. linkLocation=https://pokecottage.com/pokemon-master-sets/froslass, friendlyName=Mega Froslass</x:v>
      </x:c>
      <x:c r="D611" s="8" t="str">
        <x:v>Mega Evolution</x:v>
      </x:c>
      <x:c r="E611" s="8"/>
      <x:c r="F611" s="8"/>
    </x:row>
    <x:row r="612" ht="25" customHeight="1">
      <x:c r="A612" s="13" t="str">
        <x:v>☐</x:v>
      </x:c>
      <x:c r="B612" s="11" t="n">
        <x:v>479</x:v>
      </x:c>
      <x:c r="C612" s="15" t="e">
        <x:f>HYPERLINK("https://pokecottage.com/pokemon-master-sets/rotom","Rotom")</x:f>
        <x:v>HYPERLINK is not implemented. linkLocation=https://pokecottage.com/pokemon-master-sets/rotom, friendlyName=Rotom</x:v>
      </x:c>
      <x:c r="D612" s="7" t="str">
        <x:v>Other Form</x:v>
      </x:c>
      <x:c r="E612" s="7"/>
      <x:c r="F612" s="7"/>
    </x:row>
    <x:row r="613" ht="25" customHeight="1">
      <x:c r="A613" s="14" t="str">
        <x:v>☐</x:v>
      </x:c>
      <x:c r="B613" s="12" t="n">
        <x:v>479</x:v>
      </x:c>
      <x:c r="C613" s="16" t="e">
        <x:f>HYPERLINK("https://pokecottage.com/pokemon-master-sets/rotom","Heat Rotom")</x:f>
        <x:v>HYPERLINK is not implemented. linkLocation=https://pokecottage.com/pokemon-master-sets/rotom, friendlyName=Heat Rotom</x:v>
      </x:c>
      <x:c r="D613" s="8" t="str">
        <x:v>Other Form</x:v>
      </x:c>
      <x:c r="E613" s="8"/>
      <x:c r="F613" s="8"/>
    </x:row>
    <x:row r="614" ht="25" customHeight="1">
      <x:c r="A614" s="13" t="str">
        <x:v>☐</x:v>
      </x:c>
      <x:c r="B614" s="11" t="n">
        <x:v>479</x:v>
      </x:c>
      <x:c r="C614" s="15" t="e">
        <x:f>HYPERLINK("https://pokecottage.com/pokemon-master-sets/rotom","Wash Rotom")</x:f>
        <x:v>HYPERLINK is not implemented. linkLocation=https://pokecottage.com/pokemon-master-sets/rotom, friendlyName=Wash Rotom</x:v>
      </x:c>
      <x:c r="D614" s="7" t="str">
        <x:v>Other Form</x:v>
      </x:c>
      <x:c r="E614" s="7"/>
      <x:c r="F614" s="7"/>
    </x:row>
    <x:row r="615" ht="25" customHeight="1">
      <x:c r="A615" s="14" t="str">
        <x:v>☐</x:v>
      </x:c>
      <x:c r="B615" s="12" t="n">
        <x:v>479</x:v>
      </x:c>
      <x:c r="C615" s="16" t="e">
        <x:f>HYPERLINK("https://pokecottage.com/pokemon-master-sets/rotom","Frost Rotom")</x:f>
        <x:v>HYPERLINK is not implemented. linkLocation=https://pokecottage.com/pokemon-master-sets/rotom, friendlyName=Frost Rotom</x:v>
      </x:c>
      <x:c r="D615" s="8" t="str">
        <x:v>Other Form</x:v>
      </x:c>
      <x:c r="E615" s="8"/>
      <x:c r="F615" s="8"/>
    </x:row>
    <x:row r="616" ht="25" customHeight="1">
      <x:c r="A616" s="13" t="str">
        <x:v>☐</x:v>
      </x:c>
      <x:c r="B616" s="11" t="n">
        <x:v>479</x:v>
      </x:c>
      <x:c r="C616" s="15" t="e">
        <x:f>HYPERLINK("https://pokecottage.com/pokemon-master-sets/rotom","Fan Rotom")</x:f>
        <x:v>HYPERLINK is not implemented. linkLocation=https://pokecottage.com/pokemon-master-sets/rotom, friendlyName=Fan Rotom</x:v>
      </x:c>
      <x:c r="D616" s="7" t="str">
        <x:v>Other Form</x:v>
      </x:c>
      <x:c r="E616" s="7"/>
      <x:c r="F616" s="7"/>
    </x:row>
    <x:row r="617" ht="25" customHeight="1">
      <x:c r="A617" s="14" t="str">
        <x:v>☐</x:v>
      </x:c>
      <x:c r="B617" s="12" t="n">
        <x:v>479</x:v>
      </x:c>
      <x:c r="C617" s="16" t="e">
        <x:f>HYPERLINK("https://pokecottage.com/pokemon-master-sets/rotom","Mow Rotom")</x:f>
        <x:v>HYPERLINK is not implemented. linkLocation=https://pokecottage.com/pokemon-master-sets/rotom, friendlyName=Mow Rotom</x:v>
      </x:c>
      <x:c r="D617" s="8" t="str">
        <x:v>Other Form</x:v>
      </x:c>
      <x:c r="E617" s="8"/>
      <x:c r="F617" s="8"/>
    </x:row>
    <x:row r="618" ht="25" customHeight="1">
      <x:c r="A618" s="13" t="str">
        <x:v>☐</x:v>
      </x:c>
      <x:c r="B618" s="11" t="n">
        <x:v>479</x:v>
      </x:c>
      <x:c r="C618" s="15" t="e">
        <x:f>HYPERLINK("https://pokecottage.com/pokemon-master-sets/rotom","Rotom Dex")</x:f>
        <x:v>HYPERLINK is not implemented. linkLocation=https://pokecottage.com/pokemon-master-sets/rotom, friendlyName=Rotom Dex</x:v>
      </x:c>
      <x:c r="D618" s="7" t="str">
        <x:v>Other Form</x:v>
      </x:c>
      <x:c r="E618" s="7"/>
      <x:c r="F618" s="7"/>
    </x:row>
    <x:row r="619" ht="25" customHeight="1">
      <x:c r="A619" s="14" t="str">
        <x:v>☐</x:v>
      </x:c>
      <x:c r="B619" s="12" t="n">
        <x:v>479</x:v>
      </x:c>
      <x:c r="C619" s="16" t="e">
        <x:f>HYPERLINK("https://pokecottage.com/pokemon-master-sets/rotom","Rotom Phone")</x:f>
        <x:v>HYPERLINK is not implemented. linkLocation=https://pokecottage.com/pokemon-master-sets/rotom, friendlyName=Rotom Phone</x:v>
      </x:c>
      <x:c r="D619" s="8" t="str">
        <x:v>Other Form</x:v>
      </x:c>
      <x:c r="E619" s="8"/>
      <x:c r="F619" s="8"/>
    </x:row>
    <x:row r="620" ht="25" customHeight="1">
      <x:c r="A620" s="13" t="str">
        <x:v>☐</x:v>
      </x:c>
      <x:c r="B620" s="11" t="n">
        <x:v>479</x:v>
      </x:c>
      <x:c r="C620" s="15" t="e">
        <x:f>HYPERLINK("https://pokecottage.com/pokemon-master-sets/rotom","Drone Rotom")</x:f>
        <x:v>HYPERLINK is not implemented. linkLocation=https://pokecottage.com/pokemon-master-sets/rotom, friendlyName=Drone Rotom</x:v>
      </x:c>
      <x:c r="D620" s="7" t="str">
        <x:v>Other Form</x:v>
      </x:c>
      <x:c r="E620" s="7"/>
      <x:c r="F620" s="7"/>
    </x:row>
    <x:row r="621" ht="25" customHeight="1">
      <x:c r="A621" s="14" t="str">
        <x:v>☐</x:v>
      </x:c>
      <x:c r="B621" s="12" t="n">
        <x:v>480</x:v>
      </x:c>
      <x:c r="C621" s="16" t="e">
        <x:f>HYPERLINK("https://pokecottage.com/pokemon-master-sets/uxie","Uxie")</x:f>
        <x:v>HYPERLINK is not implemented. linkLocation=https://pokecottage.com/pokemon-master-sets/uxie, friendlyName=Uxie</x:v>
      </x:c>
      <x:c r="D621" s="8" t="str">
        <x:v>Gen 4 • Sinnoh</x:v>
      </x:c>
      <x:c r="E621" s="8"/>
      <x:c r="F621" s="8"/>
    </x:row>
    <x:row r="622" ht="25" customHeight="1">
      <x:c r="A622" s="13" t="str">
        <x:v>☐</x:v>
      </x:c>
      <x:c r="B622" s="11" t="n">
        <x:v>481</x:v>
      </x:c>
      <x:c r="C622" s="15" t="e">
        <x:f>HYPERLINK("https://pokecottage.com/pokemon-master-sets/mesprit","Mesprit")</x:f>
        <x:v>HYPERLINK is not implemented. linkLocation=https://pokecottage.com/pokemon-master-sets/mesprit, friendlyName=Mesprit</x:v>
      </x:c>
      <x:c r="D622" s="7" t="str">
        <x:v>Gen 4 • Sinnoh</x:v>
      </x:c>
      <x:c r="E622" s="7"/>
      <x:c r="F622" s="7"/>
    </x:row>
    <x:row r="623" ht="25" customHeight="1">
      <x:c r="A623" s="14" t="str">
        <x:v>☐</x:v>
      </x:c>
      <x:c r="B623" s="12" t="n">
        <x:v>482</x:v>
      </x:c>
      <x:c r="C623" s="16" t="e">
        <x:f>HYPERLINK("https://pokecottage.com/pokemon-master-sets/azelf","Azelf")</x:f>
        <x:v>HYPERLINK is not implemented. linkLocation=https://pokecottage.com/pokemon-master-sets/azelf, friendlyName=Azelf</x:v>
      </x:c>
      <x:c r="D623" s="8" t="str">
        <x:v>Gen 4 • Sinnoh</x:v>
      </x:c>
      <x:c r="E623" s="8"/>
      <x:c r="F623" s="8"/>
    </x:row>
    <x:row r="624" ht="25" customHeight="1">
      <x:c r="A624" s="13" t="str">
        <x:v>☐</x:v>
      </x:c>
      <x:c r="B624" s="11" t="n">
        <x:v>483</x:v>
      </x:c>
      <x:c r="C624" s="15" t="e">
        <x:f>HYPERLINK("https://pokecottage.com/pokemon-master-sets/dialga","Dialga")</x:f>
        <x:v>HYPERLINK is not implemented. linkLocation=https://pokecottage.com/pokemon-master-sets/dialga, friendlyName=Dialga</x:v>
      </x:c>
      <x:c r="D624" s="7" t="str">
        <x:v>Other Form</x:v>
      </x:c>
      <x:c r="E624" s="7"/>
      <x:c r="F624" s="7"/>
    </x:row>
    <x:row r="625" ht="25" customHeight="1">
      <x:c r="A625" s="14" t="str">
        <x:v>☐</x:v>
      </x:c>
      <x:c r="B625" s="12" t="n">
        <x:v>483</x:v>
      </x:c>
      <x:c r="C625" s="16" t="e">
        <x:f>HYPERLINK("https://pokecottage.com/pokemon-master-sets/dialga","Origin Forme Dialga")</x:f>
        <x:v>HYPERLINK is not implemented. linkLocation=https://pokecottage.com/pokemon-master-sets/dialga, friendlyName=Origin Forme Dialga</x:v>
      </x:c>
      <x:c r="D625" s="8" t="str">
        <x:v>Other Form</x:v>
      </x:c>
      <x:c r="E625" s="8"/>
      <x:c r="F625" s="8"/>
    </x:row>
    <x:row r="626" ht="25" customHeight="1">
      <x:c r="A626" s="13" t="str">
        <x:v>☐</x:v>
      </x:c>
      <x:c r="B626" s="11" t="n">
        <x:v>484</x:v>
      </x:c>
      <x:c r="C626" s="15" t="e">
        <x:f>HYPERLINK("https://pokecottage.com/pokemon-master-sets/palkia","Palkia")</x:f>
        <x:v>HYPERLINK is not implemented. linkLocation=https://pokecottage.com/pokemon-master-sets/palkia, friendlyName=Palkia</x:v>
      </x:c>
      <x:c r="D626" s="7" t="str">
        <x:v>Other Form</x:v>
      </x:c>
      <x:c r="E626" s="7"/>
      <x:c r="F626" s="7"/>
    </x:row>
    <x:row r="627" ht="25" customHeight="1">
      <x:c r="A627" s="14" t="str">
        <x:v>☐</x:v>
      </x:c>
      <x:c r="B627" s="12" t="n">
        <x:v>484</x:v>
      </x:c>
      <x:c r="C627" s="16" t="e">
        <x:f>HYPERLINK("https://pokecottage.com/pokemon-master-sets/palkia","Origin Forme Palkia")</x:f>
        <x:v>HYPERLINK is not implemented. linkLocation=https://pokecottage.com/pokemon-master-sets/palkia, friendlyName=Origin Forme Palkia</x:v>
      </x:c>
      <x:c r="D627" s="8" t="str">
        <x:v>Other Form</x:v>
      </x:c>
      <x:c r="E627" s="8"/>
      <x:c r="F627" s="8"/>
    </x:row>
    <x:row r="628" ht="25" customHeight="1">
      <x:c r="A628" s="13" t="str">
        <x:v>☐</x:v>
      </x:c>
      <x:c r="B628" s="11" t="n">
        <x:v>485</x:v>
      </x:c>
      <x:c r="C628" s="15" t="e">
        <x:f>HYPERLINK("https://pokecottage.com/pokemon-master-sets/heatran","Heatran")</x:f>
        <x:v>HYPERLINK is not implemented. linkLocation=https://pokecottage.com/pokemon-master-sets/heatran, friendlyName=Heatran</x:v>
      </x:c>
      <x:c r="D628" s="7" t="str">
        <x:v>Gen 4 • Sinnoh</x:v>
      </x:c>
      <x:c r="E628" s="7"/>
      <x:c r="F628" s="7"/>
    </x:row>
    <x:row r="629" ht="25" customHeight="1">
      <x:c r="A629" s="14" t="str">
        <x:v>☐</x:v>
      </x:c>
      <x:c r="B629" s="12" t="n">
        <x:v>485</x:v>
      </x:c>
      <x:c r="C629" s="16" t="e">
        <x:f>HYPERLINK("https://pokecottage.com/pokemon-master-sets/heatran","Mega Heatran")</x:f>
        <x:v>HYPERLINK is not implemented. linkLocation=https://pokecottage.com/pokemon-master-sets/heatran, friendlyName=Mega Heatran</x:v>
      </x:c>
      <x:c r="D629" s="8" t="str">
        <x:v>Mega Evolution</x:v>
      </x:c>
      <x:c r="E629" s="8"/>
      <x:c r="F629" s="8"/>
    </x:row>
    <x:row r="630" ht="25" customHeight="1">
      <x:c r="A630" s="13" t="str">
        <x:v>☐</x:v>
      </x:c>
      <x:c r="B630" s="11" t="n">
        <x:v>486</x:v>
      </x:c>
      <x:c r="C630" s="15" t="e">
        <x:f>HYPERLINK("https://pokecottage.com/pokemon-master-sets/regigigas","Regigigas")</x:f>
        <x:v>HYPERLINK is not implemented. linkLocation=https://pokecottage.com/pokemon-master-sets/regigigas, friendlyName=Regigigas</x:v>
      </x:c>
      <x:c r="D630" s="7" t="str">
        <x:v>Gen 4 • Sinnoh</x:v>
      </x:c>
      <x:c r="E630" s="7"/>
      <x:c r="F630" s="7"/>
    </x:row>
    <x:row r="631" ht="25" customHeight="1">
      <x:c r="A631" s="14" t="str">
        <x:v>☐</x:v>
      </x:c>
      <x:c r="B631" s="12" t="n">
        <x:v>487</x:v>
      </x:c>
      <x:c r="C631" s="16" t="e">
        <x:f>HYPERLINK("https://pokecottage.com/pokemon-master-sets/giratina","Giratina (Altered Forme)")</x:f>
        <x:v>HYPERLINK is not implemented. linkLocation=https://pokecottage.com/pokemon-master-sets/giratina, friendlyName=Giratina (Altered Forme)</x:v>
      </x:c>
      <x:c r="D631" s="8" t="str">
        <x:v>Other Form</x:v>
      </x:c>
      <x:c r="E631" s="8"/>
      <x:c r="F631" s="8"/>
    </x:row>
    <x:row r="632" ht="25" customHeight="1">
      <x:c r="A632" s="13" t="str">
        <x:v>☐</x:v>
      </x:c>
      <x:c r="B632" s="11" t="n">
        <x:v>487</x:v>
      </x:c>
      <x:c r="C632" s="15" t="e">
        <x:f>HYPERLINK("https://pokecottage.com/pokemon-master-sets/giratina","Giratina (Origin Forme)")</x:f>
        <x:v>HYPERLINK is not implemented. linkLocation=https://pokecottage.com/pokemon-master-sets/giratina, friendlyName=Giratina (Origin Forme)</x:v>
      </x:c>
      <x:c r="D632" s="7" t="str">
        <x:v>Other Form</x:v>
      </x:c>
      <x:c r="E632" s="7"/>
      <x:c r="F632" s="7"/>
    </x:row>
    <x:row r="633" ht="25" customHeight="1">
      <x:c r="A633" s="14" t="str">
        <x:v>☐</x:v>
      </x:c>
      <x:c r="B633" s="12" t="n">
        <x:v>488</x:v>
      </x:c>
      <x:c r="C633" s="16" t="e">
        <x:f>HYPERLINK("https://pokecottage.com/pokemon-master-sets/cresselia","Cresselia")</x:f>
        <x:v>HYPERLINK is not implemented. linkLocation=https://pokecottage.com/pokemon-master-sets/cresselia, friendlyName=Cresselia</x:v>
      </x:c>
      <x:c r="D633" s="8" t="str">
        <x:v>Gen 4 • Sinnoh</x:v>
      </x:c>
      <x:c r="E633" s="8"/>
      <x:c r="F633" s="8"/>
    </x:row>
    <x:row r="634" ht="25" customHeight="1">
      <x:c r="A634" s="13" t="str">
        <x:v>☐</x:v>
      </x:c>
      <x:c r="B634" s="11" t="n">
        <x:v>489</x:v>
      </x:c>
      <x:c r="C634" s="15" t="e">
        <x:f>HYPERLINK("https://pokecottage.com/pokemon-master-sets/phione","Phione")</x:f>
        <x:v>HYPERLINK is not implemented. linkLocation=https://pokecottage.com/pokemon-master-sets/phione, friendlyName=Phione</x:v>
      </x:c>
      <x:c r="D634" s="7" t="str">
        <x:v>Gen 4 • Sinnoh</x:v>
      </x:c>
      <x:c r="E634" s="7"/>
      <x:c r="F634" s="7"/>
    </x:row>
    <x:row r="635" ht="25" customHeight="1">
      <x:c r="A635" s="14" t="str">
        <x:v>☐</x:v>
      </x:c>
      <x:c r="B635" s="12" t="n">
        <x:v>490</x:v>
      </x:c>
      <x:c r="C635" s="16" t="e">
        <x:f>HYPERLINK("https://pokecottage.com/pokemon-master-sets/manaphy","Manaphy")</x:f>
        <x:v>HYPERLINK is not implemented. linkLocation=https://pokecottage.com/pokemon-master-sets/manaphy, friendlyName=Manaphy</x:v>
      </x:c>
      <x:c r="D635" s="8" t="str">
        <x:v>Gen 4 • Sinnoh</x:v>
      </x:c>
      <x:c r="E635" s="8"/>
      <x:c r="F635" s="8"/>
    </x:row>
    <x:row r="636" ht="25" customHeight="1">
      <x:c r="A636" s="13" t="str">
        <x:v>☐</x:v>
      </x:c>
      <x:c r="B636" s="11" t="n">
        <x:v>491</x:v>
      </x:c>
      <x:c r="C636" s="15" t="e">
        <x:f>HYPERLINK("https://pokecottage.com/pokemon-master-sets/darkrai","Darkrai")</x:f>
        <x:v>HYPERLINK is not implemented. linkLocation=https://pokecottage.com/pokemon-master-sets/darkrai, friendlyName=Darkrai</x:v>
      </x:c>
      <x:c r="D636" s="7" t="str">
        <x:v>Gen 4 • Sinnoh</x:v>
      </x:c>
      <x:c r="E636" s="7"/>
      <x:c r="F636" s="7"/>
    </x:row>
    <x:row r="637" ht="25" customHeight="1">
      <x:c r="A637" s="14" t="str">
        <x:v>☐</x:v>
      </x:c>
      <x:c r="B637" s="12" t="n">
        <x:v>491</x:v>
      </x:c>
      <x:c r="C637" s="16" t="e">
        <x:f>HYPERLINK("https://pokecottage.com/pokemon-master-sets/darkrai","Mega Darkrai")</x:f>
        <x:v>HYPERLINK is not implemented. linkLocation=https://pokecottage.com/pokemon-master-sets/darkrai, friendlyName=Mega Darkrai</x:v>
      </x:c>
      <x:c r="D637" s="8" t="str">
        <x:v>Mega Evolution</x:v>
      </x:c>
      <x:c r="E637" s="8"/>
      <x:c r="F637" s="8"/>
    </x:row>
    <x:row r="638" ht="25" customHeight="1">
      <x:c r="A638" s="13" t="str">
        <x:v>☐</x:v>
      </x:c>
      <x:c r="B638" s="11" t="n">
        <x:v>492</x:v>
      </x:c>
      <x:c r="C638" s="15" t="e">
        <x:f>HYPERLINK("https://pokecottage.com/pokemon-master-sets/shaymin","Shaymin (Land Forme)")</x:f>
        <x:v>HYPERLINK is not implemented. linkLocation=https://pokecottage.com/pokemon-master-sets/shaymin, friendlyName=Shaymin (Land Forme)</x:v>
      </x:c>
      <x:c r="D638" s="7" t="str">
        <x:v>Other Form</x:v>
      </x:c>
      <x:c r="E638" s="7"/>
      <x:c r="F638" s="7"/>
    </x:row>
    <x:row r="639" ht="25" customHeight="1">
      <x:c r="A639" s="14" t="str">
        <x:v>☐</x:v>
      </x:c>
      <x:c r="B639" s="12" t="n">
        <x:v>492</x:v>
      </x:c>
      <x:c r="C639" s="16" t="e">
        <x:f>HYPERLINK("https://pokecottage.com/pokemon-master-sets/shaymin","Shaymin (Sky Forme)")</x:f>
        <x:v>HYPERLINK is not implemented. linkLocation=https://pokecottage.com/pokemon-master-sets/shaymin, friendlyName=Shaymin (Sky Forme)</x:v>
      </x:c>
      <x:c r="D639" s="8" t="str">
        <x:v>Other Form</x:v>
      </x:c>
      <x:c r="E639" s="8"/>
      <x:c r="F639" s="8"/>
    </x:row>
    <x:row r="640" ht="25" customHeight="1">
      <x:c r="A640" s="13" t="str">
        <x:v>☐</x:v>
      </x:c>
      <x:c r="B640" s="11" t="n">
        <x:v>493</x:v>
      </x:c>
      <x:c r="C640" s="15" t="e">
        <x:f>HYPERLINK("https://pokecottage.com/pokemon-master-sets/arceus","Arceus (Normal Type)")</x:f>
        <x:v>HYPERLINK is not implemented. linkLocation=https://pokecottage.com/pokemon-master-sets/arceus, friendlyName=Arceus (Normal Type)</x:v>
      </x:c>
      <x:c r="D640" s="7" t="str">
        <x:v>Other Form</x:v>
      </x:c>
      <x:c r="E640" s="7"/>
      <x:c r="F640" s="7"/>
    </x:row>
    <x:row r="641" ht="25" customHeight="1">
      <x:c r="A641" s="14" t="str">
        <x:v>☐</x:v>
      </x:c>
      <x:c r="B641" s="12" t="n">
        <x:v>493</x:v>
      </x:c>
      <x:c r="C641" s="16" t="e">
        <x:f>HYPERLINK("https://pokecottage.com/pokemon-master-sets/arceus","Arceus (Fighting Type)")</x:f>
        <x:v>HYPERLINK is not implemented. linkLocation=https://pokecottage.com/pokemon-master-sets/arceus, friendlyName=Arceus (Fighting Type)</x:v>
      </x:c>
      <x:c r="D641" s="8" t="str">
        <x:v>Other Form</x:v>
      </x:c>
      <x:c r="E641" s="8"/>
      <x:c r="F641" s="8"/>
    </x:row>
    <x:row r="642" ht="25" customHeight="1">
      <x:c r="A642" s="13" t="str">
        <x:v>☐</x:v>
      </x:c>
      <x:c r="B642" s="11" t="n">
        <x:v>493</x:v>
      </x:c>
      <x:c r="C642" s="15" t="e">
        <x:f>HYPERLINK("https://pokecottage.com/pokemon-master-sets/arceus","Arceus (Flying Type)")</x:f>
        <x:v>HYPERLINK is not implemented. linkLocation=https://pokecottage.com/pokemon-master-sets/arceus, friendlyName=Arceus (Flying Type)</x:v>
      </x:c>
      <x:c r="D642" s="7" t="str">
        <x:v>Other Form</x:v>
      </x:c>
      <x:c r="E642" s="7"/>
      <x:c r="F642" s="7"/>
    </x:row>
    <x:row r="643" ht="25" customHeight="1">
      <x:c r="A643" s="14" t="str">
        <x:v>☐</x:v>
      </x:c>
      <x:c r="B643" s="12" t="n">
        <x:v>493</x:v>
      </x:c>
      <x:c r="C643" s="16" t="e">
        <x:f>HYPERLINK("https://pokecottage.com/pokemon-master-sets/arceus","Arceus (Poison Type)")</x:f>
        <x:v>HYPERLINK is not implemented. linkLocation=https://pokecottage.com/pokemon-master-sets/arceus, friendlyName=Arceus (Poison Type)</x:v>
      </x:c>
      <x:c r="D643" s="8" t="str">
        <x:v>Other Form</x:v>
      </x:c>
      <x:c r="E643" s="8"/>
      <x:c r="F643" s="8"/>
    </x:row>
    <x:row r="644" ht="25" customHeight="1">
      <x:c r="A644" s="13" t="str">
        <x:v>☐</x:v>
      </x:c>
      <x:c r="B644" s="11" t="n">
        <x:v>493</x:v>
      </x:c>
      <x:c r="C644" s="15" t="e">
        <x:f>HYPERLINK("https://pokecottage.com/pokemon-master-sets/arceus","Arceus (Ground Type)")</x:f>
        <x:v>HYPERLINK is not implemented. linkLocation=https://pokecottage.com/pokemon-master-sets/arceus, friendlyName=Arceus (Ground Type)</x:v>
      </x:c>
      <x:c r="D644" s="7" t="str">
        <x:v>Other Form</x:v>
      </x:c>
      <x:c r="E644" s="7"/>
      <x:c r="F644" s="7"/>
    </x:row>
    <x:row r="645" ht="25" customHeight="1">
      <x:c r="A645" s="14" t="str">
        <x:v>☐</x:v>
      </x:c>
      <x:c r="B645" s="12" t="n">
        <x:v>493</x:v>
      </x:c>
      <x:c r="C645" s="16" t="e">
        <x:f>HYPERLINK("https://pokecottage.com/pokemon-master-sets/arceus","Arceus (Rock Type)")</x:f>
        <x:v>HYPERLINK is not implemented. linkLocation=https://pokecottage.com/pokemon-master-sets/arceus, friendlyName=Arceus (Rock Type)</x:v>
      </x:c>
      <x:c r="D645" s="8" t="str">
        <x:v>Other Form</x:v>
      </x:c>
      <x:c r="E645" s="8"/>
      <x:c r="F645" s="8"/>
    </x:row>
    <x:row r="646" ht="25" customHeight="1">
      <x:c r="A646" s="13" t="str">
        <x:v>☐</x:v>
      </x:c>
      <x:c r="B646" s="11" t="n">
        <x:v>493</x:v>
      </x:c>
      <x:c r="C646" s="15" t="e">
        <x:f>HYPERLINK("https://pokecottage.com/pokemon-master-sets/arceus","Arceus (Bug Type)")</x:f>
        <x:v>HYPERLINK is not implemented. linkLocation=https://pokecottage.com/pokemon-master-sets/arceus, friendlyName=Arceus (Bug Type)</x:v>
      </x:c>
      <x:c r="D646" s="7" t="str">
        <x:v>Other Form</x:v>
      </x:c>
      <x:c r="E646" s="7"/>
      <x:c r="F646" s="7"/>
    </x:row>
    <x:row r="647" ht="25" customHeight="1">
      <x:c r="A647" s="14" t="str">
        <x:v>☐</x:v>
      </x:c>
      <x:c r="B647" s="12" t="n">
        <x:v>493</x:v>
      </x:c>
      <x:c r="C647" s="16" t="e">
        <x:f>HYPERLINK("https://pokecottage.com/pokemon-master-sets/arceus","Arceus (Ghost Type)")</x:f>
        <x:v>HYPERLINK is not implemented. linkLocation=https://pokecottage.com/pokemon-master-sets/arceus, friendlyName=Arceus (Ghost Type)</x:v>
      </x:c>
      <x:c r="D647" s="8" t="str">
        <x:v>Other Form</x:v>
      </x:c>
      <x:c r="E647" s="8"/>
      <x:c r="F647" s="8"/>
    </x:row>
    <x:row r="648" ht="25" customHeight="1">
      <x:c r="A648" s="13" t="str">
        <x:v>☐</x:v>
      </x:c>
      <x:c r="B648" s="11" t="n">
        <x:v>493</x:v>
      </x:c>
      <x:c r="C648" s="15" t="e">
        <x:f>HYPERLINK("https://pokecottage.com/pokemon-master-sets/arceus","Arceus (Steel Type)")</x:f>
        <x:v>HYPERLINK is not implemented. linkLocation=https://pokecottage.com/pokemon-master-sets/arceus, friendlyName=Arceus (Steel Type)</x:v>
      </x:c>
      <x:c r="D648" s="7" t="str">
        <x:v>Other Form</x:v>
      </x:c>
      <x:c r="E648" s="7"/>
      <x:c r="F648" s="7"/>
    </x:row>
    <x:row r="649" ht="25" customHeight="1">
      <x:c r="A649" s="14" t="str">
        <x:v>☐</x:v>
      </x:c>
      <x:c r="B649" s="12" t="n">
        <x:v>493</x:v>
      </x:c>
      <x:c r="C649" s="16" t="e">
        <x:f>HYPERLINK("https://pokecottage.com/pokemon-master-sets/arceus","Arceus (Fire Type)")</x:f>
        <x:v>HYPERLINK is not implemented. linkLocation=https://pokecottage.com/pokemon-master-sets/arceus, friendlyName=Arceus (Fire Type)</x:v>
      </x:c>
      <x:c r="D649" s="8" t="str">
        <x:v>Other Form</x:v>
      </x:c>
      <x:c r="E649" s="8"/>
      <x:c r="F649" s="8"/>
    </x:row>
    <x:row r="650" ht="25" customHeight="1">
      <x:c r="A650" s="13" t="str">
        <x:v>☐</x:v>
      </x:c>
      <x:c r="B650" s="11" t="n">
        <x:v>493</x:v>
      </x:c>
      <x:c r="C650" s="15" t="e">
        <x:f>HYPERLINK("https://pokecottage.com/pokemon-master-sets/arceus","Arceus (Water Type)")</x:f>
        <x:v>HYPERLINK is not implemented. linkLocation=https://pokecottage.com/pokemon-master-sets/arceus, friendlyName=Arceus (Water Type)</x:v>
      </x:c>
      <x:c r="D650" s="7" t="str">
        <x:v>Other Form</x:v>
      </x:c>
      <x:c r="E650" s="7"/>
      <x:c r="F650" s="7"/>
    </x:row>
    <x:row r="651" ht="25" customHeight="1">
      <x:c r="A651" s="14" t="str">
        <x:v>☐</x:v>
      </x:c>
      <x:c r="B651" s="12" t="n">
        <x:v>493</x:v>
      </x:c>
      <x:c r="C651" s="16" t="e">
        <x:f>HYPERLINK("https://pokecottage.com/pokemon-master-sets/arceus","Arceus (Grass Type)")</x:f>
        <x:v>HYPERLINK is not implemented. linkLocation=https://pokecottage.com/pokemon-master-sets/arceus, friendlyName=Arceus (Grass Type)</x:v>
      </x:c>
      <x:c r="D651" s="8" t="str">
        <x:v>Other Form</x:v>
      </x:c>
      <x:c r="E651" s="8"/>
      <x:c r="F651" s="8"/>
    </x:row>
    <x:row r="652" ht="25" customHeight="1">
      <x:c r="A652" s="13" t="str">
        <x:v>☐</x:v>
      </x:c>
      <x:c r="B652" s="11" t="n">
        <x:v>493</x:v>
      </x:c>
      <x:c r="C652" s="15" t="e">
        <x:f>HYPERLINK("https://pokecottage.com/pokemon-master-sets/arceus","Arceus (Electric Type)")</x:f>
        <x:v>HYPERLINK is not implemented. linkLocation=https://pokecottage.com/pokemon-master-sets/arceus, friendlyName=Arceus (Electric Type)</x:v>
      </x:c>
      <x:c r="D652" s="7" t="str">
        <x:v>Other Form</x:v>
      </x:c>
      <x:c r="E652" s="7"/>
      <x:c r="F652" s="7"/>
    </x:row>
    <x:row r="653" ht="25" customHeight="1">
      <x:c r="A653" s="14" t="str">
        <x:v>☐</x:v>
      </x:c>
      <x:c r="B653" s="12" t="n">
        <x:v>493</x:v>
      </x:c>
      <x:c r="C653" s="16" t="e">
        <x:f>HYPERLINK("https://pokecottage.com/pokemon-master-sets/arceus","Arceus (Psychic Type)")</x:f>
        <x:v>HYPERLINK is not implemented. linkLocation=https://pokecottage.com/pokemon-master-sets/arceus, friendlyName=Arceus (Psychic Type)</x:v>
      </x:c>
      <x:c r="D653" s="8" t="str">
        <x:v>Other Form</x:v>
      </x:c>
      <x:c r="E653" s="8"/>
      <x:c r="F653" s="8"/>
    </x:row>
    <x:row r="654" ht="25" customHeight="1">
      <x:c r="A654" s="13" t="str">
        <x:v>☐</x:v>
      </x:c>
      <x:c r="B654" s="11" t="n">
        <x:v>493</x:v>
      </x:c>
      <x:c r="C654" s="15" t="e">
        <x:f>HYPERLINK("https://pokecottage.com/pokemon-master-sets/arceus","Arceus (Ice Type)")</x:f>
        <x:v>HYPERLINK is not implemented. linkLocation=https://pokecottage.com/pokemon-master-sets/arceus, friendlyName=Arceus (Ice Type)</x:v>
      </x:c>
      <x:c r="D654" s="7" t="str">
        <x:v>Other Form</x:v>
      </x:c>
      <x:c r="E654" s="7"/>
      <x:c r="F654" s="7"/>
    </x:row>
    <x:row r="655" ht="25" customHeight="1">
      <x:c r="A655" s="14" t="str">
        <x:v>☐</x:v>
      </x:c>
      <x:c r="B655" s="12" t="n">
        <x:v>493</x:v>
      </x:c>
      <x:c r="C655" s="16" t="e">
        <x:f>HYPERLINK("https://pokecottage.com/pokemon-master-sets/arceus","Arceus (Dragon Type)")</x:f>
        <x:v>HYPERLINK is not implemented. linkLocation=https://pokecottage.com/pokemon-master-sets/arceus, friendlyName=Arceus (Dragon Type)</x:v>
      </x:c>
      <x:c r="D655" s="8" t="str">
        <x:v>Other Form</x:v>
      </x:c>
      <x:c r="E655" s="8"/>
      <x:c r="F655" s="8"/>
    </x:row>
    <x:row r="656" ht="25" customHeight="1">
      <x:c r="A656" s="13" t="str">
        <x:v>☐</x:v>
      </x:c>
      <x:c r="B656" s="11" t="n">
        <x:v>493</x:v>
      </x:c>
      <x:c r="C656" s="15" t="e">
        <x:f>HYPERLINK("https://pokecottage.com/pokemon-master-sets/arceus","Arceus (Dark Type)")</x:f>
        <x:v>HYPERLINK is not implemented. linkLocation=https://pokecottage.com/pokemon-master-sets/arceus, friendlyName=Arceus (Dark Type)</x:v>
      </x:c>
      <x:c r="D656" s="7" t="str">
        <x:v>Other Form</x:v>
      </x:c>
      <x:c r="E656" s="7"/>
      <x:c r="F656" s="7"/>
    </x:row>
    <x:row r="657" ht="25" customHeight="1">
      <x:c r="A657" s="14" t="str">
        <x:v>☐</x:v>
      </x:c>
      <x:c r="B657" s="12" t="n">
        <x:v>493</x:v>
      </x:c>
      <x:c r="C657" s="16" t="e">
        <x:f>HYPERLINK("https://pokecottage.com/pokemon-master-sets/arceus","Arceus (Fairy Type)")</x:f>
        <x:v>HYPERLINK is not implemented. linkLocation=https://pokecottage.com/pokemon-master-sets/arceus, friendlyName=Arceus (Fairy Type)</x:v>
      </x:c>
      <x:c r="D657" s="8" t="str">
        <x:v>Other Form</x:v>
      </x:c>
      <x:c r="E657" s="8"/>
      <x:c r="F657" s="8"/>
    </x:row>
    <x:row r="658" ht="25" customHeight="1">
      <x:c r="A658" s="13" t="str">
        <x:v>☐</x:v>
      </x:c>
      <x:c r="B658" s="11" t="n">
        <x:v>494</x:v>
      </x:c>
      <x:c r="C658" s="15" t="e">
        <x:f>HYPERLINK("https://pokecottage.com/pokemon-master-sets/victini","Victini")</x:f>
        <x:v>HYPERLINK is not implemented. linkLocation=https://pokecottage.com/pokemon-master-sets/victini, friendlyName=Victini</x:v>
      </x:c>
      <x:c r="D658" s="7" t="str">
        <x:v>Gen 5 • Unova</x:v>
      </x:c>
      <x:c r="E658" s="7"/>
      <x:c r="F658" s="7"/>
    </x:row>
    <x:row r="659" ht="25" customHeight="1">
      <x:c r="A659" s="14" t="str">
        <x:v>☐</x:v>
      </x:c>
      <x:c r="B659" s="12" t="n">
        <x:v>495</x:v>
      </x:c>
      <x:c r="C659" s="16" t="e">
        <x:f>HYPERLINK("https://pokecottage.com/pokemon-master-sets/snivy","Snivy")</x:f>
        <x:v>HYPERLINK is not implemented. linkLocation=https://pokecottage.com/pokemon-master-sets/snivy, friendlyName=Snivy</x:v>
      </x:c>
      <x:c r="D659" s="8" t="str">
        <x:v>Gen 5 • Unova</x:v>
      </x:c>
      <x:c r="E659" s="8"/>
      <x:c r="F659" s="8"/>
    </x:row>
    <x:row r="660" ht="25" customHeight="1">
      <x:c r="A660" s="13" t="str">
        <x:v>☐</x:v>
      </x:c>
      <x:c r="B660" s="11" t="n">
        <x:v>496</x:v>
      </x:c>
      <x:c r="C660" s="15" t="e">
        <x:f>HYPERLINK("https://pokecottage.com/pokemon-master-sets/servine","Servine")</x:f>
        <x:v>HYPERLINK is not implemented. linkLocation=https://pokecottage.com/pokemon-master-sets/servine, friendlyName=Servine</x:v>
      </x:c>
      <x:c r="D660" s="7" t="str">
        <x:v>Gen 5 • Unova</x:v>
      </x:c>
      <x:c r="E660" s="7"/>
      <x:c r="F660" s="7"/>
    </x:row>
    <x:row r="661" ht="25" customHeight="1">
      <x:c r="A661" s="14" t="str">
        <x:v>☐</x:v>
      </x:c>
      <x:c r="B661" s="12" t="n">
        <x:v>497</x:v>
      </x:c>
      <x:c r="C661" s="16" t="e">
        <x:f>HYPERLINK("https://pokecottage.com/pokemon-master-sets/serperior","Serperior")</x:f>
        <x:v>HYPERLINK is not implemented. linkLocation=https://pokecottage.com/pokemon-master-sets/serperior, friendlyName=Serperior</x:v>
      </x:c>
      <x:c r="D661" s="8" t="str">
        <x:v>Gen 5 • Unova</x:v>
      </x:c>
      <x:c r="E661" s="8"/>
      <x:c r="F661" s="8"/>
    </x:row>
    <x:row r="662" ht="25" customHeight="1">
      <x:c r="A662" s="13" t="str">
        <x:v>☐</x:v>
      </x:c>
      <x:c r="B662" s="11" t="n">
        <x:v>498</x:v>
      </x:c>
      <x:c r="C662" s="15" t="e">
        <x:f>HYPERLINK("https://pokecottage.com/pokemon-master-sets/tepig","Tepig")</x:f>
        <x:v>HYPERLINK is not implemented. linkLocation=https://pokecottage.com/pokemon-master-sets/tepig, friendlyName=Tepig</x:v>
      </x:c>
      <x:c r="D662" s="7" t="str">
        <x:v>Gen 5 • Unova</x:v>
      </x:c>
      <x:c r="E662" s="7"/>
      <x:c r="F662" s="7"/>
    </x:row>
    <x:row r="663" ht="25" customHeight="1">
      <x:c r="A663" s="14" t="str">
        <x:v>☐</x:v>
      </x:c>
      <x:c r="B663" s="12" t="n">
        <x:v>499</x:v>
      </x:c>
      <x:c r="C663" s="16" t="e">
        <x:f>HYPERLINK("https://pokecottage.com/pokemon-master-sets/pignite","Pignite")</x:f>
        <x:v>HYPERLINK is not implemented. linkLocation=https://pokecottage.com/pokemon-master-sets/pignite, friendlyName=Pignite</x:v>
      </x:c>
      <x:c r="D663" s="8" t="str">
        <x:v>Gen 5 • Unova</x:v>
      </x:c>
      <x:c r="E663" s="8"/>
      <x:c r="F663" s="8"/>
    </x:row>
    <x:row r="664" ht="25" customHeight="1">
      <x:c r="A664" s="13" t="str">
        <x:v>☐</x:v>
      </x:c>
      <x:c r="B664" s="11" t="n">
        <x:v>500</x:v>
      </x:c>
      <x:c r="C664" s="15" t="e">
        <x:f>HYPERLINK("https://pokecottage.com/pokemon-master-sets/emboar","Emboar")</x:f>
        <x:v>HYPERLINK is not implemented. linkLocation=https://pokecottage.com/pokemon-master-sets/emboar, friendlyName=Emboar</x:v>
      </x:c>
      <x:c r="D664" s="7" t="str">
        <x:v>Gen 5 • Unova</x:v>
      </x:c>
      <x:c r="E664" s="7"/>
      <x:c r="F664" s="7"/>
    </x:row>
    <x:row r="665" ht="25" customHeight="1">
      <x:c r="A665" s="14" t="str">
        <x:v>☐</x:v>
      </x:c>
      <x:c r="B665" s="12" t="n">
        <x:v>500</x:v>
      </x:c>
      <x:c r="C665" s="16" t="e">
        <x:f>HYPERLINK("https://pokecottage.com/pokemon-master-sets/emboar","Mega Emboar")</x:f>
        <x:v>HYPERLINK is not implemented. linkLocation=https://pokecottage.com/pokemon-master-sets/emboar, friendlyName=Mega Emboar</x:v>
      </x:c>
      <x:c r="D665" s="8" t="str">
        <x:v>Mega Evolution</x:v>
      </x:c>
      <x:c r="E665" s="8"/>
      <x:c r="F665" s="8"/>
    </x:row>
    <x:row r="666" ht="25" customHeight="1">
      <x:c r="A666" s="13" t="str">
        <x:v>☐</x:v>
      </x:c>
      <x:c r="B666" s="11" t="n">
        <x:v>501</x:v>
      </x:c>
      <x:c r="C666" s="15" t="e">
        <x:f>HYPERLINK("https://pokecottage.com/pokemon-master-sets/oshawott","Oshawott")</x:f>
        <x:v>HYPERLINK is not implemented. linkLocation=https://pokecottage.com/pokemon-master-sets/oshawott, friendlyName=Oshawott</x:v>
      </x:c>
      <x:c r="D666" s="7" t="str">
        <x:v>Gen 5 • Unova</x:v>
      </x:c>
      <x:c r="E666" s="7"/>
      <x:c r="F666" s="7"/>
    </x:row>
    <x:row r="667" ht="25" customHeight="1">
      <x:c r="A667" s="14" t="str">
        <x:v>☐</x:v>
      </x:c>
      <x:c r="B667" s="12" t="n">
        <x:v>502</x:v>
      </x:c>
      <x:c r="C667" s="16" t="e">
        <x:f>HYPERLINK("https://pokecottage.com/pokemon-master-sets/dewott","Dewott")</x:f>
        <x:v>HYPERLINK is not implemented. linkLocation=https://pokecottage.com/pokemon-master-sets/dewott, friendlyName=Dewott</x:v>
      </x:c>
      <x:c r="D667" s="8" t="str">
        <x:v>Gen 5 • Unova</x:v>
      </x:c>
      <x:c r="E667" s="8"/>
      <x:c r="F667" s="8"/>
    </x:row>
    <x:row r="668" ht="25" customHeight="1">
      <x:c r="A668" s="13" t="str">
        <x:v>☐</x:v>
      </x:c>
      <x:c r="B668" s="11" t="n">
        <x:v>503</x:v>
      </x:c>
      <x:c r="C668" s="15" t="e">
        <x:f>HYPERLINK("https://pokecottage.com/pokemon-master-sets/samurott","Samurott")</x:f>
        <x:v>HYPERLINK is not implemented. linkLocation=https://pokecottage.com/pokemon-master-sets/samurott, friendlyName=Samurott</x:v>
      </x:c>
      <x:c r="D668" s="7" t="str">
        <x:v>Gen 5 • Unova</x:v>
      </x:c>
      <x:c r="E668" s="7"/>
      <x:c r="F668" s="7"/>
    </x:row>
    <x:row r="669" ht="25" customHeight="1">
      <x:c r="A669" s="14" t="str">
        <x:v>☐</x:v>
      </x:c>
      <x:c r="B669" s="12" t="n">
        <x:v>503</x:v>
      </x:c>
      <x:c r="C669" s="16" t="e">
        <x:f>HYPERLINK("https://pokecottage.com/pokemon-master-sets/samurott","Hisuian Samurott")</x:f>
        <x:v>HYPERLINK is not implemented. linkLocation=https://pokecottage.com/pokemon-master-sets/samurott, friendlyName=Hisuian Samurott</x:v>
      </x:c>
      <x:c r="D669" s="8" t="str">
        <x:v>Regional</x:v>
      </x:c>
      <x:c r="E669" s="8"/>
      <x:c r="F669" s="8"/>
    </x:row>
    <x:row r="670" ht="25" customHeight="1">
      <x:c r="A670" s="13" t="str">
        <x:v>☐</x:v>
      </x:c>
      <x:c r="B670" s="11" t="n">
        <x:v>504</x:v>
      </x:c>
      <x:c r="C670" s="15" t="e">
        <x:f>HYPERLINK("https://pokecottage.com/pokemon-master-sets/patrat","Patrat")</x:f>
        <x:v>HYPERLINK is not implemented. linkLocation=https://pokecottage.com/pokemon-master-sets/patrat, friendlyName=Patrat</x:v>
      </x:c>
      <x:c r="D670" s="7" t="str">
        <x:v>Gen 5 • Unova</x:v>
      </x:c>
      <x:c r="E670" s="7"/>
      <x:c r="F670" s="7"/>
    </x:row>
    <x:row r="671" ht="25" customHeight="1">
      <x:c r="A671" s="14" t="str">
        <x:v>☐</x:v>
      </x:c>
      <x:c r="B671" s="12" t="n">
        <x:v>505</x:v>
      </x:c>
      <x:c r="C671" s="16" t="e">
        <x:f>HYPERLINK("https://pokecottage.com/pokemon-master-sets/watchog","Watchog")</x:f>
        <x:v>HYPERLINK is not implemented. linkLocation=https://pokecottage.com/pokemon-master-sets/watchog, friendlyName=Watchog</x:v>
      </x:c>
      <x:c r="D671" s="8" t="str">
        <x:v>Gen 5 • Unova</x:v>
      </x:c>
      <x:c r="E671" s="8"/>
      <x:c r="F671" s="8"/>
    </x:row>
    <x:row r="672" ht="25" customHeight="1">
      <x:c r="A672" s="13" t="str">
        <x:v>☐</x:v>
      </x:c>
      <x:c r="B672" s="11" t="n">
        <x:v>506</x:v>
      </x:c>
      <x:c r="C672" s="15" t="e">
        <x:f>HYPERLINK("https://pokecottage.com/pokemon-master-sets/lillipup","Lillipup")</x:f>
        <x:v>HYPERLINK is not implemented. linkLocation=https://pokecottage.com/pokemon-master-sets/lillipup, friendlyName=Lillipup</x:v>
      </x:c>
      <x:c r="D672" s="7" t="str">
        <x:v>Gen 5 • Unova</x:v>
      </x:c>
      <x:c r="E672" s="7"/>
      <x:c r="F672" s="7"/>
    </x:row>
    <x:row r="673" ht="25" customHeight="1">
      <x:c r="A673" s="14" t="str">
        <x:v>☐</x:v>
      </x:c>
      <x:c r="B673" s="12" t="n">
        <x:v>507</x:v>
      </x:c>
      <x:c r="C673" s="16" t="e">
        <x:f>HYPERLINK("https://pokecottage.com/pokemon-master-sets/herdier","Herdier")</x:f>
        <x:v>HYPERLINK is not implemented. linkLocation=https://pokecottage.com/pokemon-master-sets/herdier, friendlyName=Herdier</x:v>
      </x:c>
      <x:c r="D673" s="8" t="str">
        <x:v>Gen 5 • Unova</x:v>
      </x:c>
      <x:c r="E673" s="8"/>
      <x:c r="F673" s="8"/>
    </x:row>
    <x:row r="674" ht="25" customHeight="1">
      <x:c r="A674" s="13" t="str">
        <x:v>☐</x:v>
      </x:c>
      <x:c r="B674" s="11" t="n">
        <x:v>508</x:v>
      </x:c>
      <x:c r="C674" s="15" t="e">
        <x:f>HYPERLINK("https://pokecottage.com/pokemon-master-sets/stoutland","Stoutland")</x:f>
        <x:v>HYPERLINK is not implemented. linkLocation=https://pokecottage.com/pokemon-master-sets/stoutland, friendlyName=Stoutland</x:v>
      </x:c>
      <x:c r="D674" s="7" t="str">
        <x:v>Gen 5 • Unova</x:v>
      </x:c>
      <x:c r="E674" s="7"/>
      <x:c r="F674" s="7"/>
    </x:row>
    <x:row r="675" ht="25" customHeight="1">
      <x:c r="A675" s="14" t="str">
        <x:v>☐</x:v>
      </x:c>
      <x:c r="B675" s="12" t="n">
        <x:v>509</x:v>
      </x:c>
      <x:c r="C675" s="16" t="e">
        <x:f>HYPERLINK("https://pokecottage.com/pokemon-master-sets/purrloin","Purrloin")</x:f>
        <x:v>HYPERLINK is not implemented. linkLocation=https://pokecottage.com/pokemon-master-sets/purrloin, friendlyName=Purrloin</x:v>
      </x:c>
      <x:c r="D675" s="8" t="str">
        <x:v>Gen 5 • Unova</x:v>
      </x:c>
      <x:c r="E675" s="8"/>
      <x:c r="F675" s="8"/>
    </x:row>
    <x:row r="676" ht="25" customHeight="1">
      <x:c r="A676" s="13" t="str">
        <x:v>☐</x:v>
      </x:c>
      <x:c r="B676" s="11" t="n">
        <x:v>510</x:v>
      </x:c>
      <x:c r="C676" s="15" t="e">
        <x:f>HYPERLINK("https://pokecottage.com/pokemon-master-sets/liepard","Liepard")</x:f>
        <x:v>HYPERLINK is not implemented. linkLocation=https://pokecottage.com/pokemon-master-sets/liepard, friendlyName=Liepard</x:v>
      </x:c>
      <x:c r="D676" s="7" t="str">
        <x:v>Gen 5 • Unova</x:v>
      </x:c>
      <x:c r="E676" s="7"/>
      <x:c r="F676" s="7"/>
    </x:row>
    <x:row r="677" ht="25" customHeight="1">
      <x:c r="A677" s="14" t="str">
        <x:v>☐</x:v>
      </x:c>
      <x:c r="B677" s="12" t="n">
        <x:v>511</x:v>
      </x:c>
      <x:c r="C677" s="16" t="e">
        <x:f>HYPERLINK("https://pokecottage.com/pokemon-master-sets/pansage","Pansage")</x:f>
        <x:v>HYPERLINK is not implemented. linkLocation=https://pokecottage.com/pokemon-master-sets/pansage, friendlyName=Pansage</x:v>
      </x:c>
      <x:c r="D677" s="8" t="str">
        <x:v>Gen 5 • Unova</x:v>
      </x:c>
      <x:c r="E677" s="8"/>
      <x:c r="F677" s="8"/>
    </x:row>
    <x:row r="678" ht="25" customHeight="1">
      <x:c r="A678" s="13" t="str">
        <x:v>☐</x:v>
      </x:c>
      <x:c r="B678" s="11" t="n">
        <x:v>512</x:v>
      </x:c>
      <x:c r="C678" s="15" t="e">
        <x:f>HYPERLINK("https://pokecottage.com/pokemon-master-sets/simisage","Simisage")</x:f>
        <x:v>HYPERLINK is not implemented. linkLocation=https://pokecottage.com/pokemon-master-sets/simisage, friendlyName=Simisage</x:v>
      </x:c>
      <x:c r="D678" s="7" t="str">
        <x:v>Gen 5 • Unova</x:v>
      </x:c>
      <x:c r="E678" s="7"/>
      <x:c r="F678" s="7"/>
    </x:row>
    <x:row r="679" ht="25" customHeight="1">
      <x:c r="A679" s="14" t="str">
        <x:v>☐</x:v>
      </x:c>
      <x:c r="B679" s="12" t="n">
        <x:v>513</x:v>
      </x:c>
      <x:c r="C679" s="16" t="e">
        <x:f>HYPERLINK("https://pokecottage.com/pokemon-master-sets/pansear","Pansear")</x:f>
        <x:v>HYPERLINK is not implemented. linkLocation=https://pokecottage.com/pokemon-master-sets/pansear, friendlyName=Pansear</x:v>
      </x:c>
      <x:c r="D679" s="8" t="str">
        <x:v>Gen 5 • Unova</x:v>
      </x:c>
      <x:c r="E679" s="8"/>
      <x:c r="F679" s="8"/>
    </x:row>
    <x:row r="680" ht="25" customHeight="1">
      <x:c r="A680" s="13" t="str">
        <x:v>☐</x:v>
      </x:c>
      <x:c r="B680" s="11" t="n">
        <x:v>514</x:v>
      </x:c>
      <x:c r="C680" s="15" t="e">
        <x:f>HYPERLINK("https://pokecottage.com/pokemon-master-sets/simisear","Simisear")</x:f>
        <x:v>HYPERLINK is not implemented. linkLocation=https://pokecottage.com/pokemon-master-sets/simisear, friendlyName=Simisear</x:v>
      </x:c>
      <x:c r="D680" s="7" t="str">
        <x:v>Gen 5 • Unova</x:v>
      </x:c>
      <x:c r="E680" s="7"/>
      <x:c r="F680" s="7"/>
    </x:row>
    <x:row r="681" ht="25" customHeight="1">
      <x:c r="A681" s="14" t="str">
        <x:v>☐</x:v>
      </x:c>
      <x:c r="B681" s="12" t="n">
        <x:v>515</x:v>
      </x:c>
      <x:c r="C681" s="16" t="e">
        <x:f>HYPERLINK("https://pokecottage.com/pokemon-master-sets/panpour","Panpour")</x:f>
        <x:v>HYPERLINK is not implemented. linkLocation=https://pokecottage.com/pokemon-master-sets/panpour, friendlyName=Panpour</x:v>
      </x:c>
      <x:c r="D681" s="8" t="str">
        <x:v>Gen 5 • Unova</x:v>
      </x:c>
      <x:c r="E681" s="8"/>
      <x:c r="F681" s="8"/>
    </x:row>
    <x:row r="682" ht="25" customHeight="1">
      <x:c r="A682" s="13" t="str">
        <x:v>☐</x:v>
      </x:c>
      <x:c r="B682" s="11" t="n">
        <x:v>516</x:v>
      </x:c>
      <x:c r="C682" s="15" t="e">
        <x:f>HYPERLINK("https://pokecottage.com/pokemon-master-sets/simipour","Simipour")</x:f>
        <x:v>HYPERLINK is not implemented. linkLocation=https://pokecottage.com/pokemon-master-sets/simipour, friendlyName=Simipour</x:v>
      </x:c>
      <x:c r="D682" s="7" t="str">
        <x:v>Gen 5 • Unova</x:v>
      </x:c>
      <x:c r="E682" s="7"/>
      <x:c r="F682" s="7"/>
    </x:row>
    <x:row r="683" ht="25" customHeight="1">
      <x:c r="A683" s="14" t="str">
        <x:v>☐</x:v>
      </x:c>
      <x:c r="B683" s="12" t="n">
        <x:v>517</x:v>
      </x:c>
      <x:c r="C683" s="16" t="e">
        <x:f>HYPERLINK("https://pokecottage.com/pokemon-master-sets/munna","Munna")</x:f>
        <x:v>HYPERLINK is not implemented. linkLocation=https://pokecottage.com/pokemon-master-sets/munna, friendlyName=Munna</x:v>
      </x:c>
      <x:c r="D683" s="8" t="str">
        <x:v>Gen 5 • Unova</x:v>
      </x:c>
      <x:c r="E683" s="8"/>
      <x:c r="F683" s="8"/>
    </x:row>
    <x:row r="684" ht="25" customHeight="1">
      <x:c r="A684" s="13" t="str">
        <x:v>☐</x:v>
      </x:c>
      <x:c r="B684" s="11" t="n">
        <x:v>518</x:v>
      </x:c>
      <x:c r="C684" s="15" t="e">
        <x:f>HYPERLINK("https://pokecottage.com/pokemon-master-sets/musharna","Musharna")</x:f>
        <x:v>HYPERLINK is not implemented. linkLocation=https://pokecottage.com/pokemon-master-sets/musharna, friendlyName=Musharna</x:v>
      </x:c>
      <x:c r="D684" s="7" t="str">
        <x:v>Gen 5 • Unova</x:v>
      </x:c>
      <x:c r="E684" s="7"/>
      <x:c r="F684" s="7"/>
    </x:row>
    <x:row r="685" ht="25" customHeight="1">
      <x:c r="A685" s="14" t="str">
        <x:v>☐</x:v>
      </x:c>
      <x:c r="B685" s="12" t="n">
        <x:v>519</x:v>
      </x:c>
      <x:c r="C685" s="16" t="e">
        <x:f>HYPERLINK("https://pokecottage.com/pokemon-master-sets/pidove","Pidove")</x:f>
        <x:v>HYPERLINK is not implemented. linkLocation=https://pokecottage.com/pokemon-master-sets/pidove, friendlyName=Pidove</x:v>
      </x:c>
      <x:c r="D685" s="8" t="str">
        <x:v>Gen 5 • Unova</x:v>
      </x:c>
      <x:c r="E685" s="8"/>
      <x:c r="F685" s="8"/>
    </x:row>
    <x:row r="686" ht="25" customHeight="1">
      <x:c r="A686" s="13" t="str">
        <x:v>☐</x:v>
      </x:c>
      <x:c r="B686" s="11" t="n">
        <x:v>520</x:v>
      </x:c>
      <x:c r="C686" s="15" t="e">
        <x:f>HYPERLINK("https://pokecottage.com/pokemon-master-sets/tranquill","Tranquill")</x:f>
        <x:v>HYPERLINK is not implemented. linkLocation=https://pokecottage.com/pokemon-master-sets/tranquill, friendlyName=Tranquill</x:v>
      </x:c>
      <x:c r="D686" s="7" t="str">
        <x:v>Gen 5 • Unova</x:v>
      </x:c>
      <x:c r="E686" s="7"/>
      <x:c r="F686" s="7"/>
    </x:row>
    <x:row r="687" ht="25" customHeight="1">
      <x:c r="A687" s="14" t="str">
        <x:v>☐</x:v>
      </x:c>
      <x:c r="B687" s="12" t="n">
        <x:v>521</x:v>
      </x:c>
      <x:c r="C687" s="16" t="e">
        <x:f>HYPERLINK("https://pokecottage.com/pokemon-master-sets/unfezant","Unfezant (Male)")</x:f>
        <x:v>HYPERLINK is not implemented. linkLocation=https://pokecottage.com/pokemon-master-sets/unfezant, friendlyName=Unfezant (Male)</x:v>
      </x:c>
      <x:c r="D687" s="8" t="str">
        <x:v>Other Form</x:v>
      </x:c>
      <x:c r="E687" s="8"/>
      <x:c r="F687" s="8"/>
    </x:row>
    <x:row r="688" ht="25" customHeight="1">
      <x:c r="A688" s="13" t="str">
        <x:v>☐</x:v>
      </x:c>
      <x:c r="B688" s="11" t="n">
        <x:v>521</x:v>
      </x:c>
      <x:c r="C688" s="15" t="e">
        <x:f>HYPERLINK("https://pokecottage.com/pokemon-master-sets/unfezant","Unfezant (Female)")</x:f>
        <x:v>HYPERLINK is not implemented. linkLocation=https://pokecottage.com/pokemon-master-sets/unfezant, friendlyName=Unfezant (Female)</x:v>
      </x:c>
      <x:c r="D688" s="7" t="str">
        <x:v>Other Form</x:v>
      </x:c>
      <x:c r="E688" s="7"/>
      <x:c r="F688" s="7"/>
    </x:row>
    <x:row r="689" ht="25" customHeight="1">
      <x:c r="A689" s="14" t="str">
        <x:v>☐</x:v>
      </x:c>
      <x:c r="B689" s="12" t="n">
        <x:v>522</x:v>
      </x:c>
      <x:c r="C689" s="16" t="e">
        <x:f>HYPERLINK("https://pokecottage.com/pokemon-master-sets/blitzle","Blitzle")</x:f>
        <x:v>HYPERLINK is not implemented. linkLocation=https://pokecottage.com/pokemon-master-sets/blitzle, friendlyName=Blitzle</x:v>
      </x:c>
      <x:c r="D689" s="8" t="str">
        <x:v>Gen 5 • Unova</x:v>
      </x:c>
      <x:c r="E689" s="8"/>
      <x:c r="F689" s="8"/>
    </x:row>
    <x:row r="690" ht="25" customHeight="1">
      <x:c r="A690" s="13" t="str">
        <x:v>☐</x:v>
      </x:c>
      <x:c r="B690" s="11" t="n">
        <x:v>523</x:v>
      </x:c>
      <x:c r="C690" s="15" t="e">
        <x:f>HYPERLINK("https://pokecottage.com/pokemon-master-sets/zebstrika","Zebstrika")</x:f>
        <x:v>HYPERLINK is not implemented. linkLocation=https://pokecottage.com/pokemon-master-sets/zebstrika, friendlyName=Zebstrika</x:v>
      </x:c>
      <x:c r="D690" s="7" t="str">
        <x:v>Gen 5 • Unova</x:v>
      </x:c>
      <x:c r="E690" s="7"/>
      <x:c r="F690" s="7"/>
    </x:row>
    <x:row r="691" ht="25" customHeight="1">
      <x:c r="A691" s="14" t="str">
        <x:v>☐</x:v>
      </x:c>
      <x:c r="B691" s="12" t="n">
        <x:v>524</x:v>
      </x:c>
      <x:c r="C691" s="16" t="e">
        <x:f>HYPERLINK("https://pokecottage.com/pokemon-master-sets/roggenrola","Roggenrola")</x:f>
        <x:v>HYPERLINK is not implemented. linkLocation=https://pokecottage.com/pokemon-master-sets/roggenrola, friendlyName=Roggenrola</x:v>
      </x:c>
      <x:c r="D691" s="8" t="str">
        <x:v>Gen 5 • Unova</x:v>
      </x:c>
      <x:c r="E691" s="8"/>
      <x:c r="F691" s="8"/>
    </x:row>
    <x:row r="692" ht="25" customHeight="1">
      <x:c r="A692" s="13" t="str">
        <x:v>☐</x:v>
      </x:c>
      <x:c r="B692" s="11" t="n">
        <x:v>525</x:v>
      </x:c>
      <x:c r="C692" s="15" t="e">
        <x:f>HYPERLINK("https://pokecottage.com/pokemon-master-sets/boldore","Boldore")</x:f>
        <x:v>HYPERLINK is not implemented. linkLocation=https://pokecottage.com/pokemon-master-sets/boldore, friendlyName=Boldore</x:v>
      </x:c>
      <x:c r="D692" s="7" t="str">
        <x:v>Gen 5 • Unova</x:v>
      </x:c>
      <x:c r="E692" s="7"/>
      <x:c r="F692" s="7"/>
    </x:row>
    <x:row r="693" ht="25" customHeight="1">
      <x:c r="A693" s="14" t="str">
        <x:v>☐</x:v>
      </x:c>
      <x:c r="B693" s="12" t="n">
        <x:v>526</x:v>
      </x:c>
      <x:c r="C693" s="16" t="e">
        <x:f>HYPERLINK("https://pokecottage.com/pokemon-master-sets/gigalith","Gigalith")</x:f>
        <x:v>HYPERLINK is not implemented. linkLocation=https://pokecottage.com/pokemon-master-sets/gigalith, friendlyName=Gigalith</x:v>
      </x:c>
      <x:c r="D693" s="8" t="str">
        <x:v>Gen 5 • Unova</x:v>
      </x:c>
      <x:c r="E693" s="8"/>
      <x:c r="F693" s="8"/>
    </x:row>
    <x:row r="694" ht="25" customHeight="1">
      <x:c r="A694" s="13" t="str">
        <x:v>☐</x:v>
      </x:c>
      <x:c r="B694" s="11" t="n">
        <x:v>527</x:v>
      </x:c>
      <x:c r="C694" s="15" t="e">
        <x:f>HYPERLINK("https://pokecottage.com/pokemon-master-sets/woobat","Woobat")</x:f>
        <x:v>HYPERLINK is not implemented. linkLocation=https://pokecottage.com/pokemon-master-sets/woobat, friendlyName=Woobat</x:v>
      </x:c>
      <x:c r="D694" s="7" t="str">
        <x:v>Gen 5 • Unova</x:v>
      </x:c>
      <x:c r="E694" s="7"/>
      <x:c r="F694" s="7"/>
    </x:row>
    <x:row r="695" ht="25" customHeight="1">
      <x:c r="A695" s="14" t="str">
        <x:v>☐</x:v>
      </x:c>
      <x:c r="B695" s="12" t="n">
        <x:v>528</x:v>
      </x:c>
      <x:c r="C695" s="16" t="e">
        <x:f>HYPERLINK("https://pokecottage.com/pokemon-master-sets/swoobat","Swoobat")</x:f>
        <x:v>HYPERLINK is not implemented. linkLocation=https://pokecottage.com/pokemon-master-sets/swoobat, friendlyName=Swoobat</x:v>
      </x:c>
      <x:c r="D695" s="8" t="str">
        <x:v>Gen 5 • Unova</x:v>
      </x:c>
      <x:c r="E695" s="8"/>
      <x:c r="F695" s="8"/>
    </x:row>
    <x:row r="696" ht="25" customHeight="1">
      <x:c r="A696" s="13" t="str">
        <x:v>☐</x:v>
      </x:c>
      <x:c r="B696" s="11" t="n">
        <x:v>529</x:v>
      </x:c>
      <x:c r="C696" s="15" t="e">
        <x:f>HYPERLINK("https://pokecottage.com/pokemon-master-sets/drilbur","Drilbur")</x:f>
        <x:v>HYPERLINK is not implemented. linkLocation=https://pokecottage.com/pokemon-master-sets/drilbur, friendlyName=Drilbur</x:v>
      </x:c>
      <x:c r="D696" s="7" t="str">
        <x:v>Gen 5 • Unova</x:v>
      </x:c>
      <x:c r="E696" s="7"/>
      <x:c r="F696" s="7"/>
    </x:row>
    <x:row r="697" ht="25" customHeight="1">
      <x:c r="A697" s="14" t="str">
        <x:v>☐</x:v>
      </x:c>
      <x:c r="B697" s="12" t="n">
        <x:v>530</x:v>
      </x:c>
      <x:c r="C697" s="16" t="e">
        <x:f>HYPERLINK("https://pokecottage.com/pokemon-master-sets/excadrill","Excadrill")</x:f>
        <x:v>HYPERLINK is not implemented. linkLocation=https://pokecottage.com/pokemon-master-sets/excadrill, friendlyName=Excadrill</x:v>
      </x:c>
      <x:c r="D697" s="8" t="str">
        <x:v>Gen 5 • Unova</x:v>
      </x:c>
      <x:c r="E697" s="8"/>
      <x:c r="F697" s="8"/>
    </x:row>
    <x:row r="698" ht="25" customHeight="1">
      <x:c r="A698" s="13" t="str">
        <x:v>☐</x:v>
      </x:c>
      <x:c r="B698" s="11" t="n">
        <x:v>530</x:v>
      </x:c>
      <x:c r="C698" s="15" t="e">
        <x:f>HYPERLINK("https://pokecottage.com/pokemon-master-sets/excadrill","Mega Excadrill")</x:f>
        <x:v>HYPERLINK is not implemented. linkLocation=https://pokecottage.com/pokemon-master-sets/excadrill, friendlyName=Mega Excadrill</x:v>
      </x:c>
      <x:c r="D698" s="7" t="str">
        <x:v>Mega Evolution</x:v>
      </x:c>
      <x:c r="E698" s="7"/>
      <x:c r="F698" s="7"/>
    </x:row>
    <x:row r="699" ht="25" customHeight="1">
      <x:c r="A699" s="14" t="str">
        <x:v>☐</x:v>
      </x:c>
      <x:c r="B699" s="12" t="n">
        <x:v>531</x:v>
      </x:c>
      <x:c r="C699" s="16" t="e">
        <x:f>HYPERLINK("https://pokecottage.com/pokemon-master-sets/audino","Audino")</x:f>
        <x:v>HYPERLINK is not implemented. linkLocation=https://pokecottage.com/pokemon-master-sets/audino, friendlyName=Audino</x:v>
      </x:c>
      <x:c r="D699" s="8" t="str">
        <x:v>Gen 5 • Unova</x:v>
      </x:c>
      <x:c r="E699" s="8"/>
      <x:c r="F699" s="8"/>
    </x:row>
    <x:row r="700" ht="25" customHeight="1">
      <x:c r="A700" s="13" t="str">
        <x:v>☐</x:v>
      </x:c>
      <x:c r="B700" s="11" t="n">
        <x:v>531</x:v>
      </x:c>
      <x:c r="C700" s="15" t="e">
        <x:f>HYPERLINK("https://pokecottage.com/pokemon-master-sets/audino","Mega Audino")</x:f>
        <x:v>HYPERLINK is not implemented. linkLocation=https://pokecottage.com/pokemon-master-sets/audino, friendlyName=Mega Audino</x:v>
      </x:c>
      <x:c r="D700" s="7" t="str">
        <x:v>Mega Evolution</x:v>
      </x:c>
      <x:c r="E700" s="7"/>
      <x:c r="F700" s="7"/>
    </x:row>
    <x:row r="701" ht="25" customHeight="1">
      <x:c r="A701" s="14" t="str">
        <x:v>☐</x:v>
      </x:c>
      <x:c r="B701" s="12" t="n">
        <x:v>532</x:v>
      </x:c>
      <x:c r="C701" s="16" t="e">
        <x:f>HYPERLINK("https://pokecottage.com/pokemon-master-sets/timburr","Timburr")</x:f>
        <x:v>HYPERLINK is not implemented. linkLocation=https://pokecottage.com/pokemon-master-sets/timburr, friendlyName=Timburr</x:v>
      </x:c>
      <x:c r="D701" s="8" t="str">
        <x:v>Gen 5 • Unova</x:v>
      </x:c>
      <x:c r="E701" s="8"/>
      <x:c r="F701" s="8"/>
    </x:row>
    <x:row r="702" ht="25" customHeight="1">
      <x:c r="A702" s="13" t="str">
        <x:v>☐</x:v>
      </x:c>
      <x:c r="B702" s="11" t="n">
        <x:v>533</x:v>
      </x:c>
      <x:c r="C702" s="15" t="e">
        <x:f>HYPERLINK("https://pokecottage.com/pokemon-master-sets/gurdurr","Gurdurr")</x:f>
        <x:v>HYPERLINK is not implemented. linkLocation=https://pokecottage.com/pokemon-master-sets/gurdurr, friendlyName=Gurdurr</x:v>
      </x:c>
      <x:c r="D702" s="7" t="str">
        <x:v>Gen 5 • Unova</x:v>
      </x:c>
      <x:c r="E702" s="7"/>
      <x:c r="F702" s="7"/>
    </x:row>
    <x:row r="703" ht="25" customHeight="1">
      <x:c r="A703" s="14" t="str">
        <x:v>☐</x:v>
      </x:c>
      <x:c r="B703" s="12" t="n">
        <x:v>534</x:v>
      </x:c>
      <x:c r="C703" s="16" t="e">
        <x:f>HYPERLINK("https://pokecottage.com/pokemon-master-sets/conkeldurr","Conkeldurr")</x:f>
        <x:v>HYPERLINK is not implemented. linkLocation=https://pokecottage.com/pokemon-master-sets/conkeldurr, friendlyName=Conkeldurr</x:v>
      </x:c>
      <x:c r="D703" s="8" t="str">
        <x:v>Gen 5 • Unova</x:v>
      </x:c>
      <x:c r="E703" s="8"/>
      <x:c r="F703" s="8"/>
    </x:row>
    <x:row r="704" ht="25" customHeight="1">
      <x:c r="A704" s="13" t="str">
        <x:v>☐</x:v>
      </x:c>
      <x:c r="B704" s="11" t="n">
        <x:v>535</x:v>
      </x:c>
      <x:c r="C704" s="15" t="e">
        <x:f>HYPERLINK("https://pokecottage.com/pokemon-master-sets/tympole","Tympole")</x:f>
        <x:v>HYPERLINK is not implemented. linkLocation=https://pokecottage.com/pokemon-master-sets/tympole, friendlyName=Tympole</x:v>
      </x:c>
      <x:c r="D704" s="7" t="str">
        <x:v>Gen 5 • Unova</x:v>
      </x:c>
      <x:c r="E704" s="7"/>
      <x:c r="F704" s="7"/>
    </x:row>
    <x:row r="705" ht="25" customHeight="1">
      <x:c r="A705" s="14" t="str">
        <x:v>☐</x:v>
      </x:c>
      <x:c r="B705" s="12" t="n">
        <x:v>536</x:v>
      </x:c>
      <x:c r="C705" s="16" t="e">
        <x:f>HYPERLINK("https://pokecottage.com/pokemon-master-sets/palpitoad","Palpitoad")</x:f>
        <x:v>HYPERLINK is not implemented. linkLocation=https://pokecottage.com/pokemon-master-sets/palpitoad, friendlyName=Palpitoad</x:v>
      </x:c>
      <x:c r="D705" s="8" t="str">
        <x:v>Gen 5 • Unova</x:v>
      </x:c>
      <x:c r="E705" s="8"/>
      <x:c r="F705" s="8"/>
    </x:row>
    <x:row r="706" ht="25" customHeight="1">
      <x:c r="A706" s="13" t="str">
        <x:v>☐</x:v>
      </x:c>
      <x:c r="B706" s="11" t="n">
        <x:v>537</x:v>
      </x:c>
      <x:c r="C706" s="15" t="e">
        <x:f>HYPERLINK("https://pokecottage.com/pokemon-master-sets/seismitoad","Seismitoad")</x:f>
        <x:v>HYPERLINK is not implemented. linkLocation=https://pokecottage.com/pokemon-master-sets/seismitoad, friendlyName=Seismitoad</x:v>
      </x:c>
      <x:c r="D706" s="7" t="str">
        <x:v>Gen 5 • Unova</x:v>
      </x:c>
      <x:c r="E706" s="7"/>
      <x:c r="F706" s="7"/>
    </x:row>
    <x:row r="707" ht="25" customHeight="1">
      <x:c r="A707" s="14" t="str">
        <x:v>☐</x:v>
      </x:c>
      <x:c r="B707" s="12" t="n">
        <x:v>538</x:v>
      </x:c>
      <x:c r="C707" s="16" t="e">
        <x:f>HYPERLINK("https://pokecottage.com/pokemon-master-sets/throh","Throh")</x:f>
        <x:v>HYPERLINK is not implemented. linkLocation=https://pokecottage.com/pokemon-master-sets/throh, friendlyName=Throh</x:v>
      </x:c>
      <x:c r="D707" s="8" t="str">
        <x:v>Gen 5 • Unova</x:v>
      </x:c>
      <x:c r="E707" s="8"/>
      <x:c r="F707" s="8"/>
    </x:row>
    <x:row r="708" ht="25" customHeight="1">
      <x:c r="A708" s="13" t="str">
        <x:v>☐</x:v>
      </x:c>
      <x:c r="B708" s="11" t="n">
        <x:v>539</x:v>
      </x:c>
      <x:c r="C708" s="15" t="e">
        <x:f>HYPERLINK("https://pokecottage.com/pokemon-master-sets/sawk","Sawk")</x:f>
        <x:v>HYPERLINK is not implemented. linkLocation=https://pokecottage.com/pokemon-master-sets/sawk, friendlyName=Sawk</x:v>
      </x:c>
      <x:c r="D708" s="7" t="str">
        <x:v>Gen 5 • Unova</x:v>
      </x:c>
      <x:c r="E708" s="7"/>
      <x:c r="F708" s="7"/>
    </x:row>
    <x:row r="709" ht="25" customHeight="1">
      <x:c r="A709" s="14" t="str">
        <x:v>☐</x:v>
      </x:c>
      <x:c r="B709" s="12" t="n">
        <x:v>540</x:v>
      </x:c>
      <x:c r="C709" s="16" t="e">
        <x:f>HYPERLINK("https://pokecottage.com/pokemon-master-sets/sewaddle","Sewaddle")</x:f>
        <x:v>HYPERLINK is not implemented. linkLocation=https://pokecottage.com/pokemon-master-sets/sewaddle, friendlyName=Sewaddle</x:v>
      </x:c>
      <x:c r="D709" s="8" t="str">
        <x:v>Gen 5 • Unova</x:v>
      </x:c>
      <x:c r="E709" s="8"/>
      <x:c r="F709" s="8"/>
    </x:row>
    <x:row r="710" ht="25" customHeight="1">
      <x:c r="A710" s="13" t="str">
        <x:v>☐</x:v>
      </x:c>
      <x:c r="B710" s="11" t="n">
        <x:v>541</x:v>
      </x:c>
      <x:c r="C710" s="15" t="e">
        <x:f>HYPERLINK("https://pokecottage.com/pokemon-master-sets/swadloon","Swadloon")</x:f>
        <x:v>HYPERLINK is not implemented. linkLocation=https://pokecottage.com/pokemon-master-sets/swadloon, friendlyName=Swadloon</x:v>
      </x:c>
      <x:c r="D710" s="7" t="str">
        <x:v>Gen 5 • Unova</x:v>
      </x:c>
      <x:c r="E710" s="7"/>
      <x:c r="F710" s="7"/>
    </x:row>
    <x:row r="711" ht="25" customHeight="1">
      <x:c r="A711" s="14" t="str">
        <x:v>☐</x:v>
      </x:c>
      <x:c r="B711" s="12" t="n">
        <x:v>542</x:v>
      </x:c>
      <x:c r="C711" s="16" t="e">
        <x:f>HYPERLINK("https://pokecottage.com/pokemon-master-sets/leavanny","Leavanny")</x:f>
        <x:v>HYPERLINK is not implemented. linkLocation=https://pokecottage.com/pokemon-master-sets/leavanny, friendlyName=Leavanny</x:v>
      </x:c>
      <x:c r="D711" s="8" t="str">
        <x:v>Gen 5 • Unova</x:v>
      </x:c>
      <x:c r="E711" s="8"/>
      <x:c r="F711" s="8"/>
    </x:row>
    <x:row r="712" ht="25" customHeight="1">
      <x:c r="A712" s="13" t="str">
        <x:v>☐</x:v>
      </x:c>
      <x:c r="B712" s="11" t="n">
        <x:v>543</x:v>
      </x:c>
      <x:c r="C712" s="15" t="e">
        <x:f>HYPERLINK("https://pokecottage.com/pokemon-master-sets/venipede","Venipede")</x:f>
        <x:v>HYPERLINK is not implemented. linkLocation=https://pokecottage.com/pokemon-master-sets/venipede, friendlyName=Venipede</x:v>
      </x:c>
      <x:c r="D712" s="7" t="str">
        <x:v>Gen 5 • Unova</x:v>
      </x:c>
      <x:c r="E712" s="7"/>
      <x:c r="F712" s="7"/>
    </x:row>
    <x:row r="713" ht="25" customHeight="1">
      <x:c r="A713" s="14" t="str">
        <x:v>☐</x:v>
      </x:c>
      <x:c r="B713" s="12" t="n">
        <x:v>544</x:v>
      </x:c>
      <x:c r="C713" s="16" t="e">
        <x:f>HYPERLINK("https://pokecottage.com/pokemon-master-sets/whirlipede","Whirlipede")</x:f>
        <x:v>HYPERLINK is not implemented. linkLocation=https://pokecottage.com/pokemon-master-sets/whirlipede, friendlyName=Whirlipede</x:v>
      </x:c>
      <x:c r="D713" s="8" t="str">
        <x:v>Gen 5 • Unova</x:v>
      </x:c>
      <x:c r="E713" s="8"/>
      <x:c r="F713" s="8"/>
    </x:row>
    <x:row r="714" ht="25" customHeight="1">
      <x:c r="A714" s="13" t="str">
        <x:v>☐</x:v>
      </x:c>
      <x:c r="B714" s="11" t="n">
        <x:v>545</x:v>
      </x:c>
      <x:c r="C714" s="15" t="e">
        <x:f>HYPERLINK("https://pokecottage.com/pokemon-master-sets/scolipede","Scolipede")</x:f>
        <x:v>HYPERLINK is not implemented. linkLocation=https://pokecottage.com/pokemon-master-sets/scolipede, friendlyName=Scolipede</x:v>
      </x:c>
      <x:c r="D714" s="7" t="str">
        <x:v>Gen 5 • Unova</x:v>
      </x:c>
      <x:c r="E714" s="7"/>
      <x:c r="F714" s="7"/>
    </x:row>
    <x:row r="715" ht="25" customHeight="1">
      <x:c r="A715" s="14" t="str">
        <x:v>☐</x:v>
      </x:c>
      <x:c r="B715" s="12" t="n">
        <x:v>545</x:v>
      </x:c>
      <x:c r="C715" s="16" t="e">
        <x:f>HYPERLINK("https://pokecottage.com/pokemon-master-sets/scolipede","Mega Scolipede")</x:f>
        <x:v>HYPERLINK is not implemented. linkLocation=https://pokecottage.com/pokemon-master-sets/scolipede, friendlyName=Mega Scolipede</x:v>
      </x:c>
      <x:c r="D715" s="8" t="str">
        <x:v>Mega Evolution</x:v>
      </x:c>
      <x:c r="E715" s="8"/>
      <x:c r="F715" s="8"/>
    </x:row>
    <x:row r="716" ht="25" customHeight="1">
      <x:c r="A716" s="13" t="str">
        <x:v>☐</x:v>
      </x:c>
      <x:c r="B716" s="11" t="n">
        <x:v>546</x:v>
      </x:c>
      <x:c r="C716" s="15" t="e">
        <x:f>HYPERLINK("https://pokecottage.com/pokemon-master-sets/cottonee","Cottonee")</x:f>
        <x:v>HYPERLINK is not implemented. linkLocation=https://pokecottage.com/pokemon-master-sets/cottonee, friendlyName=Cottonee</x:v>
      </x:c>
      <x:c r="D716" s="7" t="str">
        <x:v>Gen 5 • Unova</x:v>
      </x:c>
      <x:c r="E716" s="7"/>
      <x:c r="F716" s="7"/>
    </x:row>
    <x:row r="717" ht="25" customHeight="1">
      <x:c r="A717" s="14" t="str">
        <x:v>☐</x:v>
      </x:c>
      <x:c r="B717" s="12" t="n">
        <x:v>547</x:v>
      </x:c>
      <x:c r="C717" s="16" t="e">
        <x:f>HYPERLINK("https://pokecottage.com/pokemon-master-sets/whimsicott","Whimsicott")</x:f>
        <x:v>HYPERLINK is not implemented. linkLocation=https://pokecottage.com/pokemon-master-sets/whimsicott, friendlyName=Whimsicott</x:v>
      </x:c>
      <x:c r="D717" s="8" t="str">
        <x:v>Gen 5 • Unova</x:v>
      </x:c>
      <x:c r="E717" s="8"/>
      <x:c r="F717" s="8"/>
    </x:row>
    <x:row r="718" ht="25" customHeight="1">
      <x:c r="A718" s="13" t="str">
        <x:v>☐</x:v>
      </x:c>
      <x:c r="B718" s="11" t="n">
        <x:v>548</x:v>
      </x:c>
      <x:c r="C718" s="15" t="e">
        <x:f>HYPERLINK("https://pokecottage.com/pokemon-master-sets/petilil","Petilil")</x:f>
        <x:v>HYPERLINK is not implemented. linkLocation=https://pokecottage.com/pokemon-master-sets/petilil, friendlyName=Petilil</x:v>
      </x:c>
      <x:c r="D718" s="7" t="str">
        <x:v>Gen 5 • Unova</x:v>
      </x:c>
      <x:c r="E718" s="7"/>
      <x:c r="F718" s="7"/>
    </x:row>
    <x:row r="719" ht="25" customHeight="1">
      <x:c r="A719" s="14" t="str">
        <x:v>☐</x:v>
      </x:c>
      <x:c r="B719" s="12" t="n">
        <x:v>549</x:v>
      </x:c>
      <x:c r="C719" s="16" t="e">
        <x:f>HYPERLINK("https://pokecottage.com/pokemon-master-sets/lilligant","Lilligant")</x:f>
        <x:v>HYPERLINK is not implemented. linkLocation=https://pokecottage.com/pokemon-master-sets/lilligant, friendlyName=Lilligant</x:v>
      </x:c>
      <x:c r="D719" s="8" t="str">
        <x:v>Gen 5 • Unova</x:v>
      </x:c>
      <x:c r="E719" s="8"/>
      <x:c r="F719" s="8"/>
    </x:row>
    <x:row r="720" ht="25" customHeight="1">
      <x:c r="A720" s="13" t="str">
        <x:v>☐</x:v>
      </x:c>
      <x:c r="B720" s="11" t="n">
        <x:v>549</x:v>
      </x:c>
      <x:c r="C720" s="15" t="e">
        <x:f>HYPERLINK("https://pokecottage.com/pokemon-master-sets/lilligant","Hisuian Lilligant")</x:f>
        <x:v>HYPERLINK is not implemented. linkLocation=https://pokecottage.com/pokemon-master-sets/lilligant, friendlyName=Hisuian Lilligant</x:v>
      </x:c>
      <x:c r="D720" s="7" t="str">
        <x:v>Regional</x:v>
      </x:c>
      <x:c r="E720" s="7"/>
      <x:c r="F720" s="7"/>
    </x:row>
    <x:row r="721" ht="25" customHeight="1">
      <x:c r="A721" s="14" t="str">
        <x:v>☐</x:v>
      </x:c>
      <x:c r="B721" s="12" t="n">
        <x:v>550</x:v>
      </x:c>
      <x:c r="C721" s="16" t="e">
        <x:f>HYPERLINK("https://pokecottage.com/pokemon-master-sets/basculin","Basculin (Red-Striped Form)")</x:f>
        <x:v>HYPERLINK is not implemented. linkLocation=https://pokecottage.com/pokemon-master-sets/basculin, friendlyName=Basculin (Red-Striped Form)</x:v>
      </x:c>
      <x:c r="D721" s="8" t="str">
        <x:v>Other Form</x:v>
      </x:c>
      <x:c r="E721" s="8"/>
      <x:c r="F721" s="8"/>
    </x:row>
    <x:row r="722" ht="25" customHeight="1">
      <x:c r="A722" s="13" t="str">
        <x:v>☐</x:v>
      </x:c>
      <x:c r="B722" s="11" t="n">
        <x:v>550</x:v>
      </x:c>
      <x:c r="C722" s="15" t="e">
        <x:f>HYPERLINK("https://pokecottage.com/pokemon-master-sets/basculin","Basculin (Blue-Striped Form)")</x:f>
        <x:v>HYPERLINK is not implemented. linkLocation=https://pokecottage.com/pokemon-master-sets/basculin, friendlyName=Basculin (Blue-Striped Form)</x:v>
      </x:c>
      <x:c r="D722" s="7" t="str">
        <x:v>Other Form</x:v>
      </x:c>
      <x:c r="E722" s="7"/>
      <x:c r="F722" s="7"/>
    </x:row>
    <x:row r="723" ht="25" customHeight="1">
      <x:c r="A723" s="14" t="str">
        <x:v>☐</x:v>
      </x:c>
      <x:c r="B723" s="12" t="n">
        <x:v>550</x:v>
      </x:c>
      <x:c r="C723" s="16" t="e">
        <x:f>HYPERLINK("https://pokecottage.com/pokemon-master-sets/basculin","Basculin (White-Striped Form)")</x:f>
        <x:v>HYPERLINK is not implemented. linkLocation=https://pokecottage.com/pokemon-master-sets/basculin, friendlyName=Basculin (White-Striped Form)</x:v>
      </x:c>
      <x:c r="D723" s="8" t="str">
        <x:v>Other Form</x:v>
      </x:c>
      <x:c r="E723" s="8"/>
      <x:c r="F723" s="8"/>
    </x:row>
    <x:row r="724" ht="25" customHeight="1">
      <x:c r="A724" s="13" t="str">
        <x:v>☐</x:v>
      </x:c>
      <x:c r="B724" s="11" t="n">
        <x:v>550</x:v>
      </x:c>
      <x:c r="C724" s="15" t="e">
        <x:f>HYPERLINK("https://pokecottage.com/pokemon-master-sets/basculin","Hisuian / White-Striped Basculin")</x:f>
        <x:v>HYPERLINK is not implemented. linkLocation=https://pokecottage.com/pokemon-master-sets/basculin, friendlyName=Hisuian / White-Striped Basculin</x:v>
      </x:c>
      <x:c r="D724" s="7" t="str">
        <x:v>Regional</x:v>
      </x:c>
      <x:c r="E724" s="7"/>
      <x:c r="F724" s="7"/>
    </x:row>
    <x:row r="725" ht="25" customHeight="1">
      <x:c r="A725" s="14" t="str">
        <x:v>☐</x:v>
      </x:c>
      <x:c r="B725" s="12" t="n">
        <x:v>551</x:v>
      </x:c>
      <x:c r="C725" s="16" t="e">
        <x:f>HYPERLINK("https://pokecottage.com/pokemon-master-sets/sandile","Sandile")</x:f>
        <x:v>HYPERLINK is not implemented. linkLocation=https://pokecottage.com/pokemon-master-sets/sandile, friendlyName=Sandile</x:v>
      </x:c>
      <x:c r="D725" s="8" t="str">
        <x:v>Gen 5 • Unova</x:v>
      </x:c>
      <x:c r="E725" s="8"/>
      <x:c r="F725" s="8"/>
    </x:row>
    <x:row r="726" ht="25" customHeight="1">
      <x:c r="A726" s="13" t="str">
        <x:v>☐</x:v>
      </x:c>
      <x:c r="B726" s="11" t="n">
        <x:v>552</x:v>
      </x:c>
      <x:c r="C726" s="15" t="e">
        <x:f>HYPERLINK("https://pokecottage.com/pokemon-master-sets/krokorok","Krokorok")</x:f>
        <x:v>HYPERLINK is not implemented. linkLocation=https://pokecottage.com/pokemon-master-sets/krokorok, friendlyName=Krokorok</x:v>
      </x:c>
      <x:c r="D726" s="7" t="str">
        <x:v>Gen 5 • Unova</x:v>
      </x:c>
      <x:c r="E726" s="7"/>
      <x:c r="F726" s="7"/>
    </x:row>
    <x:row r="727" ht="25" customHeight="1">
      <x:c r="A727" s="14" t="str">
        <x:v>☐</x:v>
      </x:c>
      <x:c r="B727" s="12" t="n">
        <x:v>553</x:v>
      </x:c>
      <x:c r="C727" s="16" t="e">
        <x:f>HYPERLINK("https://pokecottage.com/pokemon-master-sets/krookodile","Krookodile")</x:f>
        <x:v>HYPERLINK is not implemented. linkLocation=https://pokecottage.com/pokemon-master-sets/krookodile, friendlyName=Krookodile</x:v>
      </x:c>
      <x:c r="D727" s="8" t="str">
        <x:v>Gen 5 • Unova</x:v>
      </x:c>
      <x:c r="E727" s="8"/>
      <x:c r="F727" s="8"/>
    </x:row>
    <x:row r="728" ht="25" customHeight="1">
      <x:c r="A728" s="13" t="str">
        <x:v>☐</x:v>
      </x:c>
      <x:c r="B728" s="11" t="n">
        <x:v>554</x:v>
      </x:c>
      <x:c r="C728" s="15" t="e">
        <x:f>HYPERLINK("https://pokecottage.com/pokemon-master-sets/darumaka","Darumaka")</x:f>
        <x:v>HYPERLINK is not implemented. linkLocation=https://pokecottage.com/pokemon-master-sets/darumaka, friendlyName=Darumaka</x:v>
      </x:c>
      <x:c r="D728" s="7" t="str">
        <x:v>Gen 5 • Unova</x:v>
      </x:c>
      <x:c r="E728" s="7"/>
      <x:c r="F728" s="7"/>
    </x:row>
    <x:row r="729" ht="25" customHeight="1">
      <x:c r="A729" s="14" t="str">
        <x:v>☐</x:v>
      </x:c>
      <x:c r="B729" s="12" t="n">
        <x:v>554</x:v>
      </x:c>
      <x:c r="C729" s="16" t="e">
        <x:f>HYPERLINK("https://pokecottage.com/pokemon-master-sets/darumaka","Galarian Darumaka")</x:f>
        <x:v>HYPERLINK is not implemented. linkLocation=https://pokecottage.com/pokemon-master-sets/darumaka, friendlyName=Galarian Darumaka</x:v>
      </x:c>
      <x:c r="D729" s="8" t="str">
        <x:v>Regional</x:v>
      </x:c>
      <x:c r="E729" s="8"/>
      <x:c r="F729" s="8"/>
    </x:row>
    <x:row r="730" ht="25" customHeight="1">
      <x:c r="A730" s="13" t="str">
        <x:v>☐</x:v>
      </x:c>
      <x:c r="B730" s="11" t="n">
        <x:v>555</x:v>
      </x:c>
      <x:c r="C730" s="15" t="e">
        <x:f>HYPERLINK("https://pokecottage.com/pokemon-master-sets/darmanitan","Darmanitan (Standard Mode)")</x:f>
        <x:v>HYPERLINK is not implemented. linkLocation=https://pokecottage.com/pokemon-master-sets/darmanitan, friendlyName=Darmanitan (Standard Mode)</x:v>
      </x:c>
      <x:c r="D730" s="7" t="str">
        <x:v>Other Form</x:v>
      </x:c>
      <x:c r="E730" s="7"/>
      <x:c r="F730" s="7"/>
    </x:row>
    <x:row r="731" ht="25" customHeight="1">
      <x:c r="A731" s="14" t="str">
        <x:v>☐</x:v>
      </x:c>
      <x:c r="B731" s="12" t="n">
        <x:v>555</x:v>
      </x:c>
      <x:c r="C731" s="16" t="e">
        <x:f>HYPERLINK("https://pokecottage.com/pokemon-master-sets/darmanitan","Darmanitan (Zen Mode)")</x:f>
        <x:v>HYPERLINK is not implemented. linkLocation=https://pokecottage.com/pokemon-master-sets/darmanitan, friendlyName=Darmanitan (Zen Mode)</x:v>
      </x:c>
      <x:c r="D731" s="8" t="str">
        <x:v>Other Form</x:v>
      </x:c>
      <x:c r="E731" s="8"/>
      <x:c r="F731" s="8"/>
    </x:row>
    <x:row r="732" ht="25" customHeight="1">
      <x:c r="A732" s="13" t="str">
        <x:v>☐</x:v>
      </x:c>
      <x:c r="B732" s="11" t="n">
        <x:v>555</x:v>
      </x:c>
      <x:c r="C732" s="15" t="e">
        <x:f>HYPERLINK("https://pokecottage.com/pokemon-master-sets/darmanitan","Galarian Darmanitan (Standard Mode)")</x:f>
        <x:v>HYPERLINK is not implemented. linkLocation=https://pokecottage.com/pokemon-master-sets/darmanitan, friendlyName=Galarian Darmanitan (Standard Mode)</x:v>
      </x:c>
      <x:c r="D732" s="7" t="str">
        <x:v>Regional</x:v>
      </x:c>
      <x:c r="E732" s="7"/>
      <x:c r="F732" s="7"/>
    </x:row>
    <x:row r="733" ht="25" customHeight="1">
      <x:c r="A733" s="14" t="str">
        <x:v>☐</x:v>
      </x:c>
      <x:c r="B733" s="12" t="n">
        <x:v>555</x:v>
      </x:c>
      <x:c r="C733" s="16" t="e">
        <x:f>HYPERLINK("https://pokecottage.com/pokemon-master-sets/darmanitan","Galarian Darmanitan (Zen Mode)")</x:f>
        <x:v>HYPERLINK is not implemented. linkLocation=https://pokecottage.com/pokemon-master-sets/darmanitan, friendlyName=Galarian Darmanitan (Zen Mode)</x:v>
      </x:c>
      <x:c r="D733" s="8" t="str">
        <x:v>Regional</x:v>
      </x:c>
      <x:c r="E733" s="8"/>
      <x:c r="F733" s="8"/>
    </x:row>
    <x:row r="734" ht="25" customHeight="1">
      <x:c r="A734" s="13" t="str">
        <x:v>☐</x:v>
      </x:c>
      <x:c r="B734" s="11" t="n">
        <x:v>556</x:v>
      </x:c>
      <x:c r="C734" s="15" t="e">
        <x:f>HYPERLINK("https://pokecottage.com/pokemon-master-sets/maractus","Maractus")</x:f>
        <x:v>HYPERLINK is not implemented. linkLocation=https://pokecottage.com/pokemon-master-sets/maractus, friendlyName=Maractus</x:v>
      </x:c>
      <x:c r="D734" s="7" t="str">
        <x:v>Gen 5 • Unova</x:v>
      </x:c>
      <x:c r="E734" s="7"/>
      <x:c r="F734" s="7"/>
    </x:row>
    <x:row r="735" ht="25" customHeight="1">
      <x:c r="A735" s="14" t="str">
        <x:v>☐</x:v>
      </x:c>
      <x:c r="B735" s="12" t="n">
        <x:v>557</x:v>
      </x:c>
      <x:c r="C735" s="16" t="e">
        <x:f>HYPERLINK("https://pokecottage.com/pokemon-master-sets/dwebble","Dwebble")</x:f>
        <x:v>HYPERLINK is not implemented. linkLocation=https://pokecottage.com/pokemon-master-sets/dwebble, friendlyName=Dwebble</x:v>
      </x:c>
      <x:c r="D735" s="8" t="str">
        <x:v>Gen 5 • Unova</x:v>
      </x:c>
      <x:c r="E735" s="8"/>
      <x:c r="F735" s="8"/>
    </x:row>
    <x:row r="736" ht="25" customHeight="1">
      <x:c r="A736" s="13" t="str">
        <x:v>☐</x:v>
      </x:c>
      <x:c r="B736" s="11" t="n">
        <x:v>558</x:v>
      </x:c>
      <x:c r="C736" s="15" t="e">
        <x:f>HYPERLINK("https://pokecottage.com/pokemon-master-sets/crustle","Crustle")</x:f>
        <x:v>HYPERLINK is not implemented. linkLocation=https://pokecottage.com/pokemon-master-sets/crustle, friendlyName=Crustle</x:v>
      </x:c>
      <x:c r="D736" s="7" t="str">
        <x:v>Gen 5 • Unova</x:v>
      </x:c>
      <x:c r="E736" s="7"/>
      <x:c r="F736" s="7"/>
    </x:row>
    <x:row r="737" ht="25" customHeight="1">
      <x:c r="A737" s="14" t="str">
        <x:v>☐</x:v>
      </x:c>
      <x:c r="B737" s="12" t="n">
        <x:v>559</x:v>
      </x:c>
      <x:c r="C737" s="16" t="e">
        <x:f>HYPERLINK("https://pokecottage.com/pokemon-master-sets/scraggy","Scraggy")</x:f>
        <x:v>HYPERLINK is not implemented. linkLocation=https://pokecottage.com/pokemon-master-sets/scraggy, friendlyName=Scraggy</x:v>
      </x:c>
      <x:c r="D737" s="8" t="str">
        <x:v>Gen 5 • Unova</x:v>
      </x:c>
      <x:c r="E737" s="8"/>
      <x:c r="F737" s="8"/>
    </x:row>
    <x:row r="738" ht="25" customHeight="1">
      <x:c r="A738" s="13" t="str">
        <x:v>☐</x:v>
      </x:c>
      <x:c r="B738" s="11" t="n">
        <x:v>560</x:v>
      </x:c>
      <x:c r="C738" s="15" t="e">
        <x:f>HYPERLINK("https://pokecottage.com/pokemon-master-sets/scrafty","Scrafty")</x:f>
        <x:v>HYPERLINK is not implemented. linkLocation=https://pokecottage.com/pokemon-master-sets/scrafty, friendlyName=Scrafty</x:v>
      </x:c>
      <x:c r="D738" s="7" t="str">
        <x:v>Gen 5 • Unova</x:v>
      </x:c>
      <x:c r="E738" s="7"/>
      <x:c r="F738" s="7"/>
    </x:row>
    <x:row r="739" ht="25" customHeight="1">
      <x:c r="A739" s="14" t="str">
        <x:v>☐</x:v>
      </x:c>
      <x:c r="B739" s="12" t="n">
        <x:v>560</x:v>
      </x:c>
      <x:c r="C739" s="16" t="e">
        <x:f>HYPERLINK("https://pokecottage.com/pokemon-master-sets/scrafty","Mega Scrafty")</x:f>
        <x:v>HYPERLINK is not implemented. linkLocation=https://pokecottage.com/pokemon-master-sets/scrafty, friendlyName=Mega Scrafty</x:v>
      </x:c>
      <x:c r="D739" s="8" t="str">
        <x:v>Mega Evolution</x:v>
      </x:c>
      <x:c r="E739" s="8"/>
      <x:c r="F739" s="8"/>
    </x:row>
    <x:row r="740" ht="25" customHeight="1">
      <x:c r="A740" s="13" t="str">
        <x:v>☐</x:v>
      </x:c>
      <x:c r="B740" s="11" t="n">
        <x:v>561</x:v>
      </x:c>
      <x:c r="C740" s="15" t="e">
        <x:f>HYPERLINK("https://pokecottage.com/pokemon-master-sets/sigilyph","Sigilyph")</x:f>
        <x:v>HYPERLINK is not implemented. linkLocation=https://pokecottage.com/pokemon-master-sets/sigilyph, friendlyName=Sigilyph</x:v>
      </x:c>
      <x:c r="D740" s="7" t="str">
        <x:v>Gen 5 • Unova</x:v>
      </x:c>
      <x:c r="E740" s="7"/>
      <x:c r="F740" s="7"/>
    </x:row>
    <x:row r="741" ht="25" customHeight="1">
      <x:c r="A741" s="14" t="str">
        <x:v>☐</x:v>
      </x:c>
      <x:c r="B741" s="12" t="n">
        <x:v>562</x:v>
      </x:c>
      <x:c r="C741" s="16" t="e">
        <x:f>HYPERLINK("https://pokecottage.com/pokemon-master-sets/yamask","Yamask")</x:f>
        <x:v>HYPERLINK is not implemented. linkLocation=https://pokecottage.com/pokemon-master-sets/yamask, friendlyName=Yamask</x:v>
      </x:c>
      <x:c r="D741" s="8" t="str">
        <x:v>Gen 5 • Unova</x:v>
      </x:c>
      <x:c r="E741" s="8"/>
      <x:c r="F741" s="8"/>
    </x:row>
    <x:row r="742" ht="25" customHeight="1">
      <x:c r="A742" s="13" t="str">
        <x:v>☐</x:v>
      </x:c>
      <x:c r="B742" s="11" t="n">
        <x:v>562</x:v>
      </x:c>
      <x:c r="C742" s="15" t="e">
        <x:f>HYPERLINK("https://pokecottage.com/pokemon-master-sets/yamask","Galarian Yamask")</x:f>
        <x:v>HYPERLINK is not implemented. linkLocation=https://pokecottage.com/pokemon-master-sets/yamask, friendlyName=Galarian Yamask</x:v>
      </x:c>
      <x:c r="D742" s="7" t="str">
        <x:v>Regional</x:v>
      </x:c>
      <x:c r="E742" s="7"/>
      <x:c r="F742" s="7"/>
    </x:row>
    <x:row r="743" ht="25" customHeight="1">
      <x:c r="A743" s="14" t="str">
        <x:v>☐</x:v>
      </x:c>
      <x:c r="B743" s="12" t="n">
        <x:v>563</x:v>
      </x:c>
      <x:c r="C743" s="16" t="e">
        <x:f>HYPERLINK("https://pokecottage.com/pokemon-master-sets/cofagrigus","Cofagrigus")</x:f>
        <x:v>HYPERLINK is not implemented. linkLocation=https://pokecottage.com/pokemon-master-sets/cofagrigus, friendlyName=Cofagrigus</x:v>
      </x:c>
      <x:c r="D743" s="8" t="str">
        <x:v>Gen 5 • Unova</x:v>
      </x:c>
      <x:c r="E743" s="8"/>
      <x:c r="F743" s="8"/>
    </x:row>
    <x:row r="744" ht="25" customHeight="1">
      <x:c r="A744" s="13" t="str">
        <x:v>☐</x:v>
      </x:c>
      <x:c r="B744" s="11" t="n">
        <x:v>564</x:v>
      </x:c>
      <x:c r="C744" s="15" t="e">
        <x:f>HYPERLINK("https://pokecottage.com/pokemon-master-sets/tirtouga","Tirtouga")</x:f>
        <x:v>HYPERLINK is not implemented. linkLocation=https://pokecottage.com/pokemon-master-sets/tirtouga, friendlyName=Tirtouga</x:v>
      </x:c>
      <x:c r="D744" s="7" t="str">
        <x:v>Gen 5 • Unova</x:v>
      </x:c>
      <x:c r="E744" s="7"/>
      <x:c r="F744" s="7"/>
    </x:row>
    <x:row r="745" ht="25" customHeight="1">
      <x:c r="A745" s="14" t="str">
        <x:v>☐</x:v>
      </x:c>
      <x:c r="B745" s="12" t="n">
        <x:v>565</x:v>
      </x:c>
      <x:c r="C745" s="16" t="e">
        <x:f>HYPERLINK("https://pokecottage.com/pokemon-master-sets/carracosta","Carracosta")</x:f>
        <x:v>HYPERLINK is not implemented. linkLocation=https://pokecottage.com/pokemon-master-sets/carracosta, friendlyName=Carracosta</x:v>
      </x:c>
      <x:c r="D745" s="8" t="str">
        <x:v>Gen 5 • Unova</x:v>
      </x:c>
      <x:c r="E745" s="8"/>
      <x:c r="F745" s="8"/>
    </x:row>
    <x:row r="746" ht="25" customHeight="1">
      <x:c r="A746" s="13" t="str">
        <x:v>☐</x:v>
      </x:c>
      <x:c r="B746" s="11" t="n">
        <x:v>566</x:v>
      </x:c>
      <x:c r="C746" s="15" t="e">
        <x:f>HYPERLINK("https://pokecottage.com/pokemon-master-sets/archen","Archen")</x:f>
        <x:v>HYPERLINK is not implemented. linkLocation=https://pokecottage.com/pokemon-master-sets/archen, friendlyName=Archen</x:v>
      </x:c>
      <x:c r="D746" s="7" t="str">
        <x:v>Gen 5 • Unova</x:v>
      </x:c>
      <x:c r="E746" s="7"/>
      <x:c r="F746" s="7"/>
    </x:row>
    <x:row r="747" ht="25" customHeight="1">
      <x:c r="A747" s="14" t="str">
        <x:v>☐</x:v>
      </x:c>
      <x:c r="B747" s="12" t="n">
        <x:v>567</x:v>
      </x:c>
      <x:c r="C747" s="16" t="e">
        <x:f>HYPERLINK("https://pokecottage.com/pokemon-master-sets/archeops","Archeops")</x:f>
        <x:v>HYPERLINK is not implemented. linkLocation=https://pokecottage.com/pokemon-master-sets/archeops, friendlyName=Archeops</x:v>
      </x:c>
      <x:c r="D747" s="8" t="str">
        <x:v>Gen 5 • Unova</x:v>
      </x:c>
      <x:c r="E747" s="8"/>
      <x:c r="F747" s="8"/>
    </x:row>
    <x:row r="748" ht="25" customHeight="1">
      <x:c r="A748" s="13" t="str">
        <x:v>☐</x:v>
      </x:c>
      <x:c r="B748" s="11" t="n">
        <x:v>568</x:v>
      </x:c>
      <x:c r="C748" s="15" t="e">
        <x:f>HYPERLINK("https://pokecottage.com/pokemon-master-sets/trubbish","Trubbish")</x:f>
        <x:v>HYPERLINK is not implemented. linkLocation=https://pokecottage.com/pokemon-master-sets/trubbish, friendlyName=Trubbish</x:v>
      </x:c>
      <x:c r="D748" s="7" t="str">
        <x:v>Gen 5 • Unova</x:v>
      </x:c>
      <x:c r="E748" s="7"/>
      <x:c r="F748" s="7"/>
    </x:row>
    <x:row r="749" ht="25" customHeight="1">
      <x:c r="A749" s="14" t="str">
        <x:v>☐</x:v>
      </x:c>
      <x:c r="B749" s="12" t="n">
        <x:v>569</x:v>
      </x:c>
      <x:c r="C749" s="16" t="e">
        <x:f>HYPERLINK("https://pokecottage.com/pokemon-master-sets/garbodor","Garbodor")</x:f>
        <x:v>HYPERLINK is not implemented. linkLocation=https://pokecottage.com/pokemon-master-sets/garbodor, friendlyName=Garbodor</x:v>
      </x:c>
      <x:c r="D749" s="8" t="str">
        <x:v>Gen 5 • Unova</x:v>
      </x:c>
      <x:c r="E749" s="8"/>
      <x:c r="F749" s="8"/>
    </x:row>
    <x:row r="750" ht="25" customHeight="1">
      <x:c r="A750" s="13" t="str">
        <x:v>☐</x:v>
      </x:c>
      <x:c r="B750" s="11" t="n">
        <x:v>569</x:v>
      </x:c>
      <x:c r="C750" s="15" t="e">
        <x:f>HYPERLINK("https://pokecottage.com/pokemon-master-sets/garbodor","Gigantamax Garbodor")</x:f>
        <x:v>HYPERLINK is not implemented. linkLocation=https://pokecottage.com/pokemon-master-sets/garbodor, friendlyName=Gigantamax Garbodor</x:v>
      </x:c>
      <x:c r="D750" s="7" t="str">
        <x:v>Gigantamax</x:v>
      </x:c>
      <x:c r="E750" s="7"/>
      <x:c r="F750" s="7"/>
    </x:row>
    <x:row r="751" ht="25" customHeight="1">
      <x:c r="A751" s="14" t="str">
        <x:v>☐</x:v>
      </x:c>
      <x:c r="B751" s="12" t="n">
        <x:v>570</x:v>
      </x:c>
      <x:c r="C751" s="16" t="e">
        <x:f>HYPERLINK("https://pokecottage.com/pokemon-master-sets/zorua","Zorua")</x:f>
        <x:v>HYPERLINK is not implemented. linkLocation=https://pokecottage.com/pokemon-master-sets/zorua, friendlyName=Zorua</x:v>
      </x:c>
      <x:c r="D751" s="8" t="str">
        <x:v>Gen 5 • Unova</x:v>
      </x:c>
      <x:c r="E751" s="8"/>
      <x:c r="F751" s="8"/>
    </x:row>
    <x:row r="752" ht="25" customHeight="1">
      <x:c r="A752" s="13" t="str">
        <x:v>☐</x:v>
      </x:c>
      <x:c r="B752" s="11" t="n">
        <x:v>570</x:v>
      </x:c>
      <x:c r="C752" s="15" t="e">
        <x:f>HYPERLINK("https://pokecottage.com/pokemon-master-sets/zorua","Hisuian Zorua")</x:f>
        <x:v>HYPERLINK is not implemented. linkLocation=https://pokecottage.com/pokemon-master-sets/zorua, friendlyName=Hisuian Zorua</x:v>
      </x:c>
      <x:c r="D752" s="7" t="str">
        <x:v>Regional</x:v>
      </x:c>
      <x:c r="E752" s="7"/>
      <x:c r="F752" s="7"/>
    </x:row>
    <x:row r="753" ht="25" customHeight="1">
      <x:c r="A753" s="14" t="str">
        <x:v>☐</x:v>
      </x:c>
      <x:c r="B753" s="12" t="n">
        <x:v>571</x:v>
      </x:c>
      <x:c r="C753" s="16" t="e">
        <x:f>HYPERLINK("https://pokecottage.com/pokemon-master-sets/zoroark","Zoroark")</x:f>
        <x:v>HYPERLINK is not implemented. linkLocation=https://pokecottage.com/pokemon-master-sets/zoroark, friendlyName=Zoroark</x:v>
      </x:c>
      <x:c r="D753" s="8" t="str">
        <x:v>Gen 5 • Unova</x:v>
      </x:c>
      <x:c r="E753" s="8"/>
      <x:c r="F753" s="8"/>
    </x:row>
    <x:row r="754" ht="25" customHeight="1">
      <x:c r="A754" s="13" t="str">
        <x:v>☐</x:v>
      </x:c>
      <x:c r="B754" s="11" t="n">
        <x:v>571</x:v>
      </x:c>
      <x:c r="C754" s="15" t="e">
        <x:f>HYPERLINK("https://pokecottage.com/pokemon-master-sets/zoroark","Hisuian Zoroark")</x:f>
        <x:v>HYPERLINK is not implemented. linkLocation=https://pokecottage.com/pokemon-master-sets/zoroark, friendlyName=Hisuian Zoroark</x:v>
      </x:c>
      <x:c r="D754" s="7" t="str">
        <x:v>Regional</x:v>
      </x:c>
      <x:c r="E754" s="7"/>
      <x:c r="F754" s="7"/>
    </x:row>
    <x:row r="755" ht="25" customHeight="1">
      <x:c r="A755" s="14" t="str">
        <x:v>☐</x:v>
      </x:c>
      <x:c r="B755" s="12" t="n">
        <x:v>572</x:v>
      </x:c>
      <x:c r="C755" s="16" t="e">
        <x:f>HYPERLINK("https://pokecottage.com/pokemon-master-sets/minccino","Minccino")</x:f>
        <x:v>HYPERLINK is not implemented. linkLocation=https://pokecottage.com/pokemon-master-sets/minccino, friendlyName=Minccino</x:v>
      </x:c>
      <x:c r="D755" s="8" t="str">
        <x:v>Gen 5 • Unova</x:v>
      </x:c>
      <x:c r="E755" s="8"/>
      <x:c r="F755" s="8"/>
    </x:row>
    <x:row r="756" ht="25" customHeight="1">
      <x:c r="A756" s="13" t="str">
        <x:v>☐</x:v>
      </x:c>
      <x:c r="B756" s="11" t="n">
        <x:v>573</x:v>
      </x:c>
      <x:c r="C756" s="15" t="e">
        <x:f>HYPERLINK("https://pokecottage.com/pokemon-master-sets/cinccino","Cinccino")</x:f>
        <x:v>HYPERLINK is not implemented. linkLocation=https://pokecottage.com/pokemon-master-sets/cinccino, friendlyName=Cinccino</x:v>
      </x:c>
      <x:c r="D756" s="7" t="str">
        <x:v>Gen 5 • Unova</x:v>
      </x:c>
      <x:c r="E756" s="7"/>
      <x:c r="F756" s="7"/>
    </x:row>
    <x:row r="757" ht="25" customHeight="1">
      <x:c r="A757" s="14" t="str">
        <x:v>☐</x:v>
      </x:c>
      <x:c r="B757" s="12" t="n">
        <x:v>574</x:v>
      </x:c>
      <x:c r="C757" s="16" t="e">
        <x:f>HYPERLINK("https://pokecottage.com/pokemon-master-sets/gothita","Gothita")</x:f>
        <x:v>HYPERLINK is not implemented. linkLocation=https://pokecottage.com/pokemon-master-sets/gothita, friendlyName=Gothita</x:v>
      </x:c>
      <x:c r="D757" s="8" t="str">
        <x:v>Gen 5 • Unova</x:v>
      </x:c>
      <x:c r="E757" s="8"/>
      <x:c r="F757" s="8"/>
    </x:row>
    <x:row r="758" ht="25" customHeight="1">
      <x:c r="A758" s="13" t="str">
        <x:v>☐</x:v>
      </x:c>
      <x:c r="B758" s="11" t="n">
        <x:v>575</x:v>
      </x:c>
      <x:c r="C758" s="15" t="e">
        <x:f>HYPERLINK("https://pokecottage.com/pokemon-master-sets/gothorita","Gothorita")</x:f>
        <x:v>HYPERLINK is not implemented. linkLocation=https://pokecottage.com/pokemon-master-sets/gothorita, friendlyName=Gothorita</x:v>
      </x:c>
      <x:c r="D758" s="7" t="str">
        <x:v>Gen 5 • Unova</x:v>
      </x:c>
      <x:c r="E758" s="7"/>
      <x:c r="F758" s="7"/>
    </x:row>
    <x:row r="759" ht="25" customHeight="1">
      <x:c r="A759" s="14" t="str">
        <x:v>☐</x:v>
      </x:c>
      <x:c r="B759" s="12" t="n">
        <x:v>576</x:v>
      </x:c>
      <x:c r="C759" s="16" t="e">
        <x:f>HYPERLINK("https://pokecottage.com/pokemon-master-sets/gothitelle","Gothitelle")</x:f>
        <x:v>HYPERLINK is not implemented. linkLocation=https://pokecottage.com/pokemon-master-sets/gothitelle, friendlyName=Gothitelle</x:v>
      </x:c>
      <x:c r="D759" s="8" t="str">
        <x:v>Gen 5 • Unova</x:v>
      </x:c>
      <x:c r="E759" s="8"/>
      <x:c r="F759" s="8"/>
    </x:row>
    <x:row r="760" ht="25" customHeight="1">
      <x:c r="A760" s="13" t="str">
        <x:v>☐</x:v>
      </x:c>
      <x:c r="B760" s="11" t="n">
        <x:v>577</x:v>
      </x:c>
      <x:c r="C760" s="15" t="e">
        <x:f>HYPERLINK("https://pokecottage.com/pokemon-master-sets/solosis","Solosis")</x:f>
        <x:v>HYPERLINK is not implemented. linkLocation=https://pokecottage.com/pokemon-master-sets/solosis, friendlyName=Solosis</x:v>
      </x:c>
      <x:c r="D760" s="7" t="str">
        <x:v>Gen 5 • Unova</x:v>
      </x:c>
      <x:c r="E760" s="7"/>
      <x:c r="F760" s="7"/>
    </x:row>
    <x:row r="761" ht="25" customHeight="1">
      <x:c r="A761" s="14" t="str">
        <x:v>☐</x:v>
      </x:c>
      <x:c r="B761" s="12" t="n">
        <x:v>578</x:v>
      </x:c>
      <x:c r="C761" s="16" t="e">
        <x:f>HYPERLINK("https://pokecottage.com/pokemon-master-sets/duosion","Duosion")</x:f>
        <x:v>HYPERLINK is not implemented. linkLocation=https://pokecottage.com/pokemon-master-sets/duosion, friendlyName=Duosion</x:v>
      </x:c>
      <x:c r="D761" s="8" t="str">
        <x:v>Gen 5 • Unova</x:v>
      </x:c>
      <x:c r="E761" s="8"/>
      <x:c r="F761" s="8"/>
    </x:row>
    <x:row r="762" ht="25" customHeight="1">
      <x:c r="A762" s="13" t="str">
        <x:v>☐</x:v>
      </x:c>
      <x:c r="B762" s="11" t="n">
        <x:v>579</x:v>
      </x:c>
      <x:c r="C762" s="15" t="e">
        <x:f>HYPERLINK("https://pokecottage.com/pokemon-master-sets/reuniclus","Reuniclus")</x:f>
        <x:v>HYPERLINK is not implemented. linkLocation=https://pokecottage.com/pokemon-master-sets/reuniclus, friendlyName=Reuniclus</x:v>
      </x:c>
      <x:c r="D762" s="7" t="str">
        <x:v>Gen 5 • Unova</x:v>
      </x:c>
      <x:c r="E762" s="7"/>
      <x:c r="F762" s="7"/>
    </x:row>
    <x:row r="763" ht="25" customHeight="1">
      <x:c r="A763" s="14" t="str">
        <x:v>☐</x:v>
      </x:c>
      <x:c r="B763" s="12" t="n">
        <x:v>580</x:v>
      </x:c>
      <x:c r="C763" s="16" t="e">
        <x:f>HYPERLINK("https://pokecottage.com/pokemon-master-sets/ducklett","Ducklett")</x:f>
        <x:v>HYPERLINK is not implemented. linkLocation=https://pokecottage.com/pokemon-master-sets/ducklett, friendlyName=Ducklett</x:v>
      </x:c>
      <x:c r="D763" s="8" t="str">
        <x:v>Gen 5 • Unova</x:v>
      </x:c>
      <x:c r="E763" s="8"/>
      <x:c r="F763" s="8"/>
    </x:row>
    <x:row r="764" ht="25" customHeight="1">
      <x:c r="A764" s="13" t="str">
        <x:v>☐</x:v>
      </x:c>
      <x:c r="B764" s="11" t="n">
        <x:v>581</x:v>
      </x:c>
      <x:c r="C764" s="15" t="e">
        <x:f>HYPERLINK("https://pokecottage.com/pokemon-master-sets/swanna","Swanna")</x:f>
        <x:v>HYPERLINK is not implemented. linkLocation=https://pokecottage.com/pokemon-master-sets/swanna, friendlyName=Swanna</x:v>
      </x:c>
      <x:c r="D764" s="7" t="str">
        <x:v>Gen 5 • Unova</x:v>
      </x:c>
      <x:c r="E764" s="7"/>
      <x:c r="F764" s="7"/>
    </x:row>
    <x:row r="765" ht="25" customHeight="1">
      <x:c r="A765" s="14" t="str">
        <x:v>☐</x:v>
      </x:c>
      <x:c r="B765" s="12" t="n">
        <x:v>582</x:v>
      </x:c>
      <x:c r="C765" s="16" t="e">
        <x:f>HYPERLINK("https://pokecottage.com/pokemon-master-sets/vanillite","Vanillite")</x:f>
        <x:v>HYPERLINK is not implemented. linkLocation=https://pokecottage.com/pokemon-master-sets/vanillite, friendlyName=Vanillite</x:v>
      </x:c>
      <x:c r="D765" s="8" t="str">
        <x:v>Gen 5 • Unova</x:v>
      </x:c>
      <x:c r="E765" s="8"/>
      <x:c r="F765" s="8"/>
    </x:row>
    <x:row r="766" ht="25" customHeight="1">
      <x:c r="A766" s="13" t="str">
        <x:v>☐</x:v>
      </x:c>
      <x:c r="B766" s="11" t="n">
        <x:v>583</x:v>
      </x:c>
      <x:c r="C766" s="15" t="e">
        <x:f>HYPERLINK("https://pokecottage.com/pokemon-master-sets/vanillish","Vanillish")</x:f>
        <x:v>HYPERLINK is not implemented. linkLocation=https://pokecottage.com/pokemon-master-sets/vanillish, friendlyName=Vanillish</x:v>
      </x:c>
      <x:c r="D766" s="7" t="str">
        <x:v>Gen 5 • Unova</x:v>
      </x:c>
      <x:c r="E766" s="7"/>
      <x:c r="F766" s="7"/>
    </x:row>
    <x:row r="767" ht="25" customHeight="1">
      <x:c r="A767" s="14" t="str">
        <x:v>☐</x:v>
      </x:c>
      <x:c r="B767" s="12" t="n">
        <x:v>584</x:v>
      </x:c>
      <x:c r="C767" s="16" t="e">
        <x:f>HYPERLINK("https://pokecottage.com/pokemon-master-sets/vanilluxe","Vanilluxe")</x:f>
        <x:v>HYPERLINK is not implemented. linkLocation=https://pokecottage.com/pokemon-master-sets/vanilluxe, friendlyName=Vanilluxe</x:v>
      </x:c>
      <x:c r="D767" s="8" t="str">
        <x:v>Gen 5 • Unova</x:v>
      </x:c>
      <x:c r="E767" s="8"/>
      <x:c r="F767" s="8"/>
    </x:row>
    <x:row r="768" ht="25" customHeight="1">
      <x:c r="A768" s="13" t="str">
        <x:v>☐</x:v>
      </x:c>
      <x:c r="B768" s="11" t="n">
        <x:v>585</x:v>
      </x:c>
      <x:c r="C768" s="15" t="e">
        <x:f>HYPERLINK("https://pokecottage.com/pokemon-master-sets/deerling","Deerling (Spring Form)")</x:f>
        <x:v>HYPERLINK is not implemented. linkLocation=https://pokecottage.com/pokemon-master-sets/deerling, friendlyName=Deerling (Spring Form)</x:v>
      </x:c>
      <x:c r="D768" s="7" t="str">
        <x:v>Other Form</x:v>
      </x:c>
      <x:c r="E768" s="7"/>
      <x:c r="F768" s="7"/>
    </x:row>
    <x:row r="769" ht="25" customHeight="1">
      <x:c r="A769" s="14" t="str">
        <x:v>☐</x:v>
      </x:c>
      <x:c r="B769" s="12" t="n">
        <x:v>585</x:v>
      </x:c>
      <x:c r="C769" s="16" t="e">
        <x:f>HYPERLINK("https://pokecottage.com/pokemon-master-sets/deerling","Deerling (Summer Form)")</x:f>
        <x:v>HYPERLINK is not implemented. linkLocation=https://pokecottage.com/pokemon-master-sets/deerling, friendlyName=Deerling (Summer Form)</x:v>
      </x:c>
      <x:c r="D769" s="8" t="str">
        <x:v>Other Form</x:v>
      </x:c>
      <x:c r="E769" s="8"/>
      <x:c r="F769" s="8"/>
    </x:row>
    <x:row r="770" ht="25" customHeight="1">
      <x:c r="A770" s="13" t="str">
        <x:v>☐</x:v>
      </x:c>
      <x:c r="B770" s="11" t="n">
        <x:v>585</x:v>
      </x:c>
      <x:c r="C770" s="15" t="e">
        <x:f>HYPERLINK("https://pokecottage.com/pokemon-master-sets/deerling","Deerling (Autumn Form)")</x:f>
        <x:v>HYPERLINK is not implemented. linkLocation=https://pokecottage.com/pokemon-master-sets/deerling, friendlyName=Deerling (Autumn Form)</x:v>
      </x:c>
      <x:c r="D770" s="7" t="str">
        <x:v>Other Form</x:v>
      </x:c>
      <x:c r="E770" s="7"/>
      <x:c r="F770" s="7"/>
    </x:row>
    <x:row r="771" ht="25" customHeight="1">
      <x:c r="A771" s="14" t="str">
        <x:v>☐</x:v>
      </x:c>
      <x:c r="B771" s="12" t="n">
        <x:v>585</x:v>
      </x:c>
      <x:c r="C771" s="16" t="e">
        <x:f>HYPERLINK("https://pokecottage.com/pokemon-master-sets/deerling","Deerling (Winter Form)")</x:f>
        <x:v>HYPERLINK is not implemented. linkLocation=https://pokecottage.com/pokemon-master-sets/deerling, friendlyName=Deerling (Winter Form)</x:v>
      </x:c>
      <x:c r="D771" s="8" t="str">
        <x:v>Other Form</x:v>
      </x:c>
      <x:c r="E771" s="8"/>
      <x:c r="F771" s="8"/>
    </x:row>
    <x:row r="772" ht="25" customHeight="1">
      <x:c r="A772" s="13" t="str">
        <x:v>☐</x:v>
      </x:c>
      <x:c r="B772" s="11" t="n">
        <x:v>586</x:v>
      </x:c>
      <x:c r="C772" s="15" t="e">
        <x:f>HYPERLINK("https://pokecottage.com/pokemon-master-sets/sawsbuck","Sawsbuck (Spring Form)")</x:f>
        <x:v>HYPERLINK is not implemented. linkLocation=https://pokecottage.com/pokemon-master-sets/sawsbuck, friendlyName=Sawsbuck (Spring Form)</x:v>
      </x:c>
      <x:c r="D772" s="7" t="str">
        <x:v>Other Form</x:v>
      </x:c>
      <x:c r="E772" s="7"/>
      <x:c r="F772" s="7"/>
    </x:row>
    <x:row r="773" ht="25" customHeight="1">
      <x:c r="A773" s="14" t="str">
        <x:v>☐</x:v>
      </x:c>
      <x:c r="B773" s="12" t="n">
        <x:v>586</x:v>
      </x:c>
      <x:c r="C773" s="16" t="e">
        <x:f>HYPERLINK("https://pokecottage.com/pokemon-master-sets/sawsbuck","Sawsbuck (Summer Form)")</x:f>
        <x:v>HYPERLINK is not implemented. linkLocation=https://pokecottage.com/pokemon-master-sets/sawsbuck, friendlyName=Sawsbuck (Summer Form)</x:v>
      </x:c>
      <x:c r="D773" s="8" t="str">
        <x:v>Other Form</x:v>
      </x:c>
      <x:c r="E773" s="8"/>
      <x:c r="F773" s="8"/>
    </x:row>
    <x:row r="774" ht="25" customHeight="1">
      <x:c r="A774" s="13" t="str">
        <x:v>☐</x:v>
      </x:c>
      <x:c r="B774" s="11" t="n">
        <x:v>586</x:v>
      </x:c>
      <x:c r="C774" s="15" t="e">
        <x:f>HYPERLINK("https://pokecottage.com/pokemon-master-sets/sawsbuck","Sawsbuck (Autumn Form)")</x:f>
        <x:v>HYPERLINK is not implemented. linkLocation=https://pokecottage.com/pokemon-master-sets/sawsbuck, friendlyName=Sawsbuck (Autumn Form)</x:v>
      </x:c>
      <x:c r="D774" s="7" t="str">
        <x:v>Other Form</x:v>
      </x:c>
      <x:c r="E774" s="7"/>
      <x:c r="F774" s="7"/>
    </x:row>
    <x:row r="775" ht="25" customHeight="1">
      <x:c r="A775" s="14" t="str">
        <x:v>☐</x:v>
      </x:c>
      <x:c r="B775" s="12" t="n">
        <x:v>586</x:v>
      </x:c>
      <x:c r="C775" s="16" t="e">
        <x:f>HYPERLINK("https://pokecottage.com/pokemon-master-sets/sawsbuck","Sawsbuck (Winter Form)")</x:f>
        <x:v>HYPERLINK is not implemented. linkLocation=https://pokecottage.com/pokemon-master-sets/sawsbuck, friendlyName=Sawsbuck (Winter Form)</x:v>
      </x:c>
      <x:c r="D775" s="8" t="str">
        <x:v>Other Form</x:v>
      </x:c>
      <x:c r="E775" s="8"/>
      <x:c r="F775" s="8"/>
    </x:row>
    <x:row r="776" ht="25" customHeight="1">
      <x:c r="A776" s="13" t="str">
        <x:v>☐</x:v>
      </x:c>
      <x:c r="B776" s="11" t="n">
        <x:v>587</x:v>
      </x:c>
      <x:c r="C776" s="15" t="e">
        <x:f>HYPERLINK("https://pokecottage.com/pokemon-master-sets/emolga","Emolga")</x:f>
        <x:v>HYPERLINK is not implemented. linkLocation=https://pokecottage.com/pokemon-master-sets/emolga, friendlyName=Emolga</x:v>
      </x:c>
      <x:c r="D776" s="7" t="str">
        <x:v>Gen 5 • Unova</x:v>
      </x:c>
      <x:c r="E776" s="7"/>
      <x:c r="F776" s="7"/>
    </x:row>
    <x:row r="777" ht="25" customHeight="1">
      <x:c r="A777" s="14" t="str">
        <x:v>☐</x:v>
      </x:c>
      <x:c r="B777" s="12" t="n">
        <x:v>588</x:v>
      </x:c>
      <x:c r="C777" s="16" t="e">
        <x:f>HYPERLINK("https://pokecottage.com/pokemon-master-sets/karrablast","Karrablast")</x:f>
        <x:v>HYPERLINK is not implemented. linkLocation=https://pokecottage.com/pokemon-master-sets/karrablast, friendlyName=Karrablast</x:v>
      </x:c>
      <x:c r="D777" s="8" t="str">
        <x:v>Gen 5 • Unova</x:v>
      </x:c>
      <x:c r="E777" s="8"/>
      <x:c r="F777" s="8"/>
    </x:row>
    <x:row r="778" ht="25" customHeight="1">
      <x:c r="A778" s="13" t="str">
        <x:v>☐</x:v>
      </x:c>
      <x:c r="B778" s="11" t="n">
        <x:v>589</x:v>
      </x:c>
      <x:c r="C778" s="15" t="e">
        <x:f>HYPERLINK("https://pokecottage.com/pokemon-master-sets/escavalier","Escavalier")</x:f>
        <x:v>HYPERLINK is not implemented. linkLocation=https://pokecottage.com/pokemon-master-sets/escavalier, friendlyName=Escavalier</x:v>
      </x:c>
      <x:c r="D778" s="7" t="str">
        <x:v>Gen 5 • Unova</x:v>
      </x:c>
      <x:c r="E778" s="7"/>
      <x:c r="F778" s="7"/>
    </x:row>
    <x:row r="779" ht="25" customHeight="1">
      <x:c r="A779" s="14" t="str">
        <x:v>☐</x:v>
      </x:c>
      <x:c r="B779" s="12" t="n">
        <x:v>590</x:v>
      </x:c>
      <x:c r="C779" s="16" t="e">
        <x:f>HYPERLINK("https://pokecottage.com/pokemon-master-sets/foongus","Foongus")</x:f>
        <x:v>HYPERLINK is not implemented. linkLocation=https://pokecottage.com/pokemon-master-sets/foongus, friendlyName=Foongus</x:v>
      </x:c>
      <x:c r="D779" s="8" t="str">
        <x:v>Gen 5 • Unova</x:v>
      </x:c>
      <x:c r="E779" s="8"/>
      <x:c r="F779" s="8"/>
    </x:row>
    <x:row r="780" ht="25" customHeight="1">
      <x:c r="A780" s="13" t="str">
        <x:v>☐</x:v>
      </x:c>
      <x:c r="B780" s="11" t="n">
        <x:v>591</x:v>
      </x:c>
      <x:c r="C780" s="15" t="e">
        <x:f>HYPERLINK("https://pokecottage.com/pokemon-master-sets/amoonguss","Amoonguss")</x:f>
        <x:v>HYPERLINK is not implemented. linkLocation=https://pokecottage.com/pokemon-master-sets/amoonguss, friendlyName=Amoonguss</x:v>
      </x:c>
      <x:c r="D780" s="7" t="str">
        <x:v>Gen 5 • Unova</x:v>
      </x:c>
      <x:c r="E780" s="7"/>
      <x:c r="F780" s="7"/>
    </x:row>
    <x:row r="781" ht="25" customHeight="1">
      <x:c r="A781" s="14" t="str">
        <x:v>☐</x:v>
      </x:c>
      <x:c r="B781" s="12" t="n">
        <x:v>592</x:v>
      </x:c>
      <x:c r="C781" s="16" t="e">
        <x:f>HYPERLINK("https://pokecottage.com/pokemon-master-sets/frillish","Frillish (Male)")</x:f>
        <x:v>HYPERLINK is not implemented. linkLocation=https://pokecottage.com/pokemon-master-sets/frillish, friendlyName=Frillish (Male)</x:v>
      </x:c>
      <x:c r="D781" s="8" t="str">
        <x:v>Other Form</x:v>
      </x:c>
      <x:c r="E781" s="8"/>
      <x:c r="F781" s="8"/>
    </x:row>
    <x:row r="782" ht="25" customHeight="1">
      <x:c r="A782" s="13" t="str">
        <x:v>☐</x:v>
      </x:c>
      <x:c r="B782" s="11" t="n">
        <x:v>592</x:v>
      </x:c>
      <x:c r="C782" s="15" t="e">
        <x:f>HYPERLINK("https://pokecottage.com/pokemon-master-sets/frillish","Frillish (Female)")</x:f>
        <x:v>HYPERLINK is not implemented. linkLocation=https://pokecottage.com/pokemon-master-sets/frillish, friendlyName=Frillish (Female)</x:v>
      </x:c>
      <x:c r="D782" s="7" t="str">
        <x:v>Other Form</x:v>
      </x:c>
      <x:c r="E782" s="7"/>
      <x:c r="F782" s="7"/>
    </x:row>
    <x:row r="783" ht="25" customHeight="1">
      <x:c r="A783" s="14" t="str">
        <x:v>☐</x:v>
      </x:c>
      <x:c r="B783" s="12" t="n">
        <x:v>593</x:v>
      </x:c>
      <x:c r="C783" s="16" t="e">
        <x:f>HYPERLINK("https://pokecottage.com/pokemon-master-sets/jellicent","Jellicent (Male)")</x:f>
        <x:v>HYPERLINK is not implemented. linkLocation=https://pokecottage.com/pokemon-master-sets/jellicent, friendlyName=Jellicent (Male)</x:v>
      </x:c>
      <x:c r="D783" s="8" t="str">
        <x:v>Other Form</x:v>
      </x:c>
      <x:c r="E783" s="8"/>
      <x:c r="F783" s="8"/>
    </x:row>
    <x:row r="784" ht="25" customHeight="1">
      <x:c r="A784" s="13" t="str">
        <x:v>☐</x:v>
      </x:c>
      <x:c r="B784" s="11" t="n">
        <x:v>593</x:v>
      </x:c>
      <x:c r="C784" s="15" t="e">
        <x:f>HYPERLINK("https://pokecottage.com/pokemon-master-sets/jellicent","Jellicent (Female)")</x:f>
        <x:v>HYPERLINK is not implemented. linkLocation=https://pokecottage.com/pokemon-master-sets/jellicent, friendlyName=Jellicent (Female)</x:v>
      </x:c>
      <x:c r="D784" s="7" t="str">
        <x:v>Other Form</x:v>
      </x:c>
      <x:c r="E784" s="7"/>
      <x:c r="F784" s="7"/>
    </x:row>
    <x:row r="785" ht="25" customHeight="1">
      <x:c r="A785" s="14" t="str">
        <x:v>☐</x:v>
      </x:c>
      <x:c r="B785" s="12" t="n">
        <x:v>594</x:v>
      </x:c>
      <x:c r="C785" s="16" t="e">
        <x:f>HYPERLINK("https://pokecottage.com/pokemon-master-sets/alomomola","Alomomola")</x:f>
        <x:v>HYPERLINK is not implemented. linkLocation=https://pokecottage.com/pokemon-master-sets/alomomola, friendlyName=Alomomola</x:v>
      </x:c>
      <x:c r="D785" s="8" t="str">
        <x:v>Gen 5 • Unova</x:v>
      </x:c>
      <x:c r="E785" s="8"/>
      <x:c r="F785" s="8"/>
    </x:row>
    <x:row r="786" ht="25" customHeight="1">
      <x:c r="A786" s="13" t="str">
        <x:v>☐</x:v>
      </x:c>
      <x:c r="B786" s="11" t="n">
        <x:v>595</x:v>
      </x:c>
      <x:c r="C786" s="15" t="e">
        <x:f>HYPERLINK("https://pokecottage.com/pokemon-master-sets/joltik","Joltik")</x:f>
        <x:v>HYPERLINK is not implemented. linkLocation=https://pokecottage.com/pokemon-master-sets/joltik, friendlyName=Joltik</x:v>
      </x:c>
      <x:c r="D786" s="7" t="str">
        <x:v>Gen 5 • Unova</x:v>
      </x:c>
      <x:c r="E786" s="7"/>
      <x:c r="F786" s="7"/>
    </x:row>
    <x:row r="787" ht="25" customHeight="1">
      <x:c r="A787" s="14" t="str">
        <x:v>☐</x:v>
      </x:c>
      <x:c r="B787" s="12" t="n">
        <x:v>596</x:v>
      </x:c>
      <x:c r="C787" s="16" t="e">
        <x:f>HYPERLINK("https://pokecottage.com/pokemon-master-sets/galvantula","Galvantula")</x:f>
        <x:v>HYPERLINK is not implemented. linkLocation=https://pokecottage.com/pokemon-master-sets/galvantula, friendlyName=Galvantula</x:v>
      </x:c>
      <x:c r="D787" s="8" t="str">
        <x:v>Gen 5 • Unova</x:v>
      </x:c>
      <x:c r="E787" s="8"/>
      <x:c r="F787" s="8"/>
    </x:row>
    <x:row r="788" ht="25" customHeight="1">
      <x:c r="A788" s="13" t="str">
        <x:v>☐</x:v>
      </x:c>
      <x:c r="B788" s="11" t="n">
        <x:v>597</x:v>
      </x:c>
      <x:c r="C788" s="15" t="e">
        <x:f>HYPERLINK("https://pokecottage.com/pokemon-master-sets/ferroseed","Ferroseed")</x:f>
        <x:v>HYPERLINK is not implemented. linkLocation=https://pokecottage.com/pokemon-master-sets/ferroseed, friendlyName=Ferroseed</x:v>
      </x:c>
      <x:c r="D788" s="7" t="str">
        <x:v>Gen 5 • Unova</x:v>
      </x:c>
      <x:c r="E788" s="7"/>
      <x:c r="F788" s="7"/>
    </x:row>
    <x:row r="789" ht="25" customHeight="1">
      <x:c r="A789" s="14" t="str">
        <x:v>☐</x:v>
      </x:c>
      <x:c r="B789" s="12" t="n">
        <x:v>598</x:v>
      </x:c>
      <x:c r="C789" s="16" t="e">
        <x:f>HYPERLINK("https://pokecottage.com/pokemon-master-sets/ferrothorn","Ferrothorn")</x:f>
        <x:v>HYPERLINK is not implemented. linkLocation=https://pokecottage.com/pokemon-master-sets/ferrothorn, friendlyName=Ferrothorn</x:v>
      </x:c>
      <x:c r="D789" s="8" t="str">
        <x:v>Gen 5 • Unova</x:v>
      </x:c>
      <x:c r="E789" s="8"/>
      <x:c r="F789" s="8"/>
    </x:row>
    <x:row r="790" ht="25" customHeight="1">
      <x:c r="A790" s="13" t="str">
        <x:v>☐</x:v>
      </x:c>
      <x:c r="B790" s="11" t="n">
        <x:v>599</x:v>
      </x:c>
      <x:c r="C790" s="15" t="e">
        <x:f>HYPERLINK("https://pokecottage.com/pokemon-master-sets/klink","Klink")</x:f>
        <x:v>HYPERLINK is not implemented. linkLocation=https://pokecottage.com/pokemon-master-sets/klink, friendlyName=Klink</x:v>
      </x:c>
      <x:c r="D790" s="7" t="str">
        <x:v>Gen 5 • Unova</x:v>
      </x:c>
      <x:c r="E790" s="7"/>
      <x:c r="F790" s="7"/>
    </x:row>
    <x:row r="791" ht="25" customHeight="1">
      <x:c r="A791" s="14" t="str">
        <x:v>☐</x:v>
      </x:c>
      <x:c r="B791" s="12" t="n">
        <x:v>600</x:v>
      </x:c>
      <x:c r="C791" s="16" t="e">
        <x:f>HYPERLINK("https://pokecottage.com/pokemon-master-sets/klang","Klang")</x:f>
        <x:v>HYPERLINK is not implemented. linkLocation=https://pokecottage.com/pokemon-master-sets/klang, friendlyName=Klang</x:v>
      </x:c>
      <x:c r="D791" s="8" t="str">
        <x:v>Gen 5 • Unova</x:v>
      </x:c>
      <x:c r="E791" s="8"/>
      <x:c r="F791" s="8"/>
    </x:row>
    <x:row r="792" ht="25" customHeight="1">
      <x:c r="A792" s="13" t="str">
        <x:v>☐</x:v>
      </x:c>
      <x:c r="B792" s="11" t="n">
        <x:v>601</x:v>
      </x:c>
      <x:c r="C792" s="15" t="e">
        <x:f>HYPERLINK("https://pokecottage.com/pokemon-master-sets/klinklang","Klinklang")</x:f>
        <x:v>HYPERLINK is not implemented. linkLocation=https://pokecottage.com/pokemon-master-sets/klinklang, friendlyName=Klinklang</x:v>
      </x:c>
      <x:c r="D792" s="7" t="str">
        <x:v>Gen 5 • Unova</x:v>
      </x:c>
      <x:c r="E792" s="7"/>
      <x:c r="F792" s="7"/>
    </x:row>
    <x:row r="793" ht="25" customHeight="1">
      <x:c r="A793" s="14" t="str">
        <x:v>☐</x:v>
      </x:c>
      <x:c r="B793" s="12" t="n">
        <x:v>602</x:v>
      </x:c>
      <x:c r="C793" s="16" t="e">
        <x:f>HYPERLINK("https://pokecottage.com/pokemon-master-sets/tynamo","Tynamo")</x:f>
        <x:v>HYPERLINK is not implemented. linkLocation=https://pokecottage.com/pokemon-master-sets/tynamo, friendlyName=Tynamo</x:v>
      </x:c>
      <x:c r="D793" s="8" t="str">
        <x:v>Gen 5 • Unova</x:v>
      </x:c>
      <x:c r="E793" s="8"/>
      <x:c r="F793" s="8"/>
    </x:row>
    <x:row r="794" ht="25" customHeight="1">
      <x:c r="A794" s="13" t="str">
        <x:v>☐</x:v>
      </x:c>
      <x:c r="B794" s="11" t="n">
        <x:v>603</x:v>
      </x:c>
      <x:c r="C794" s="15" t="e">
        <x:f>HYPERLINK("https://pokecottage.com/pokemon-master-sets/eelektrik","Eelektrik")</x:f>
        <x:v>HYPERLINK is not implemented. linkLocation=https://pokecottage.com/pokemon-master-sets/eelektrik, friendlyName=Eelektrik</x:v>
      </x:c>
      <x:c r="D794" s="7" t="str">
        <x:v>Gen 5 • Unova</x:v>
      </x:c>
      <x:c r="E794" s="7"/>
      <x:c r="F794" s="7"/>
    </x:row>
    <x:row r="795" ht="25" customHeight="1">
      <x:c r="A795" s="14" t="str">
        <x:v>☐</x:v>
      </x:c>
      <x:c r="B795" s="12" t="n">
        <x:v>604</x:v>
      </x:c>
      <x:c r="C795" s="16" t="e">
        <x:f>HYPERLINK("https://pokecottage.com/pokemon-master-sets/eelektross","Eelektross")</x:f>
        <x:v>HYPERLINK is not implemented. linkLocation=https://pokecottage.com/pokemon-master-sets/eelektross, friendlyName=Eelektross</x:v>
      </x:c>
      <x:c r="D795" s="8" t="str">
        <x:v>Gen 5 • Unova</x:v>
      </x:c>
      <x:c r="E795" s="8"/>
      <x:c r="F795" s="8"/>
    </x:row>
    <x:row r="796" ht="25" customHeight="1">
      <x:c r="A796" s="13" t="str">
        <x:v>☐</x:v>
      </x:c>
      <x:c r="B796" s="11" t="n">
        <x:v>604</x:v>
      </x:c>
      <x:c r="C796" s="15" t="e">
        <x:f>HYPERLINK("https://pokecottage.com/pokemon-master-sets/eelektross","Mega Eelektross")</x:f>
        <x:v>HYPERLINK is not implemented. linkLocation=https://pokecottage.com/pokemon-master-sets/eelektross, friendlyName=Mega Eelektross</x:v>
      </x:c>
      <x:c r="D796" s="7" t="str">
        <x:v>Mega Evolution</x:v>
      </x:c>
      <x:c r="E796" s="7"/>
      <x:c r="F796" s="7"/>
    </x:row>
    <x:row r="797" ht="25" customHeight="1">
      <x:c r="A797" s="14" t="str">
        <x:v>☐</x:v>
      </x:c>
      <x:c r="B797" s="12" t="n">
        <x:v>605</x:v>
      </x:c>
      <x:c r="C797" s="16" t="e">
        <x:f>HYPERLINK("https://pokecottage.com/pokemon-master-sets/elgyem","Elgyem")</x:f>
        <x:v>HYPERLINK is not implemented. linkLocation=https://pokecottage.com/pokemon-master-sets/elgyem, friendlyName=Elgyem</x:v>
      </x:c>
      <x:c r="D797" s="8" t="str">
        <x:v>Gen 5 • Unova</x:v>
      </x:c>
      <x:c r="E797" s="8"/>
      <x:c r="F797" s="8"/>
    </x:row>
    <x:row r="798" ht="25" customHeight="1">
      <x:c r="A798" s="13" t="str">
        <x:v>☐</x:v>
      </x:c>
      <x:c r="B798" s="11" t="n">
        <x:v>606</x:v>
      </x:c>
      <x:c r="C798" s="15" t="e">
        <x:f>HYPERLINK("https://pokecottage.com/pokemon-master-sets/beheeyem","Beheeyem")</x:f>
        <x:v>HYPERLINK is not implemented. linkLocation=https://pokecottage.com/pokemon-master-sets/beheeyem, friendlyName=Beheeyem</x:v>
      </x:c>
      <x:c r="D798" s="7" t="str">
        <x:v>Gen 5 • Unova</x:v>
      </x:c>
      <x:c r="E798" s="7"/>
      <x:c r="F798" s="7"/>
    </x:row>
    <x:row r="799" ht="25" customHeight="1">
      <x:c r="A799" s="14" t="str">
        <x:v>☐</x:v>
      </x:c>
      <x:c r="B799" s="12" t="n">
        <x:v>607</x:v>
      </x:c>
      <x:c r="C799" s="16" t="e">
        <x:f>HYPERLINK("https://pokecottage.com/pokemon-master-sets/litwick","Litwick")</x:f>
        <x:v>HYPERLINK is not implemented. linkLocation=https://pokecottage.com/pokemon-master-sets/litwick, friendlyName=Litwick</x:v>
      </x:c>
      <x:c r="D799" s="8" t="str">
        <x:v>Gen 5 • Unova</x:v>
      </x:c>
      <x:c r="E799" s="8"/>
      <x:c r="F799" s="8"/>
    </x:row>
    <x:row r="800" ht="25" customHeight="1">
      <x:c r="A800" s="13" t="str">
        <x:v>☐</x:v>
      </x:c>
      <x:c r="B800" s="11" t="n">
        <x:v>608</x:v>
      </x:c>
      <x:c r="C800" s="15" t="e">
        <x:f>HYPERLINK("https://pokecottage.com/pokemon-master-sets/lampent","Lampent")</x:f>
        <x:v>HYPERLINK is not implemented. linkLocation=https://pokecottage.com/pokemon-master-sets/lampent, friendlyName=Lampent</x:v>
      </x:c>
      <x:c r="D800" s="7" t="str">
        <x:v>Gen 5 • Unova</x:v>
      </x:c>
      <x:c r="E800" s="7"/>
      <x:c r="F800" s="7"/>
    </x:row>
    <x:row r="801" ht="25" customHeight="1">
      <x:c r="A801" s="14" t="str">
        <x:v>☐</x:v>
      </x:c>
      <x:c r="B801" s="12" t="n">
        <x:v>609</x:v>
      </x:c>
      <x:c r="C801" s="16" t="e">
        <x:f>HYPERLINK("https://pokecottage.com/pokemon-master-sets/chandelure","Chandelure")</x:f>
        <x:v>HYPERLINK is not implemented. linkLocation=https://pokecottage.com/pokemon-master-sets/chandelure, friendlyName=Chandelure</x:v>
      </x:c>
      <x:c r="D801" s="8" t="str">
        <x:v>Gen 5 • Unova</x:v>
      </x:c>
      <x:c r="E801" s="8"/>
      <x:c r="F801" s="8"/>
    </x:row>
    <x:row r="802" ht="25" customHeight="1">
      <x:c r="A802" s="13" t="str">
        <x:v>☐</x:v>
      </x:c>
      <x:c r="B802" s="11" t="n">
        <x:v>609</x:v>
      </x:c>
      <x:c r="C802" s="15" t="e">
        <x:f>HYPERLINK("https://pokecottage.com/pokemon-master-sets/chandelure","Mega Chandelure")</x:f>
        <x:v>HYPERLINK is not implemented. linkLocation=https://pokecottage.com/pokemon-master-sets/chandelure, friendlyName=Mega Chandelure</x:v>
      </x:c>
      <x:c r="D802" s="7" t="str">
        <x:v>Mega Evolution</x:v>
      </x:c>
      <x:c r="E802" s="7"/>
      <x:c r="F802" s="7"/>
    </x:row>
    <x:row r="803" ht="25" customHeight="1">
      <x:c r="A803" s="14" t="str">
        <x:v>☐</x:v>
      </x:c>
      <x:c r="B803" s="12" t="n">
        <x:v>610</x:v>
      </x:c>
      <x:c r="C803" s="16" t="e">
        <x:f>HYPERLINK("https://pokecottage.com/pokemon-master-sets/axew","Axew")</x:f>
        <x:v>HYPERLINK is not implemented. linkLocation=https://pokecottage.com/pokemon-master-sets/axew, friendlyName=Axew</x:v>
      </x:c>
      <x:c r="D803" s="8" t="str">
        <x:v>Gen 5 • Unova</x:v>
      </x:c>
      <x:c r="E803" s="8"/>
      <x:c r="F803" s="8"/>
    </x:row>
    <x:row r="804" ht="25" customHeight="1">
      <x:c r="A804" s="13" t="str">
        <x:v>☐</x:v>
      </x:c>
      <x:c r="B804" s="11" t="n">
        <x:v>611</x:v>
      </x:c>
      <x:c r="C804" s="15" t="e">
        <x:f>HYPERLINK("https://pokecottage.com/pokemon-master-sets/fraxure","Fraxure")</x:f>
        <x:v>HYPERLINK is not implemented. linkLocation=https://pokecottage.com/pokemon-master-sets/fraxure, friendlyName=Fraxure</x:v>
      </x:c>
      <x:c r="D804" s="7" t="str">
        <x:v>Gen 5 • Unova</x:v>
      </x:c>
      <x:c r="E804" s="7"/>
      <x:c r="F804" s="7"/>
    </x:row>
    <x:row r="805" ht="25" customHeight="1">
      <x:c r="A805" s="14" t="str">
        <x:v>☐</x:v>
      </x:c>
      <x:c r="B805" s="12" t="n">
        <x:v>612</x:v>
      </x:c>
      <x:c r="C805" s="16" t="e">
        <x:f>HYPERLINK("https://pokecottage.com/pokemon-master-sets/haxorus","Haxorus")</x:f>
        <x:v>HYPERLINK is not implemented. linkLocation=https://pokecottage.com/pokemon-master-sets/haxorus, friendlyName=Haxorus</x:v>
      </x:c>
      <x:c r="D805" s="8" t="str">
        <x:v>Gen 5 • Unova</x:v>
      </x:c>
      <x:c r="E805" s="8"/>
      <x:c r="F805" s="8"/>
    </x:row>
    <x:row r="806" ht="25" customHeight="1">
      <x:c r="A806" s="13" t="str">
        <x:v>☐</x:v>
      </x:c>
      <x:c r="B806" s="11" t="n">
        <x:v>613</x:v>
      </x:c>
      <x:c r="C806" s="15" t="e">
        <x:f>HYPERLINK("https://pokecottage.com/pokemon-master-sets/cubchoo","Cubchoo")</x:f>
        <x:v>HYPERLINK is not implemented. linkLocation=https://pokecottage.com/pokemon-master-sets/cubchoo, friendlyName=Cubchoo</x:v>
      </x:c>
      <x:c r="D806" s="7" t="str">
        <x:v>Gen 5 • Unova</x:v>
      </x:c>
      <x:c r="E806" s="7"/>
      <x:c r="F806" s="7"/>
    </x:row>
    <x:row r="807" ht="25" customHeight="1">
      <x:c r="A807" s="14" t="str">
        <x:v>☐</x:v>
      </x:c>
      <x:c r="B807" s="12" t="n">
        <x:v>614</x:v>
      </x:c>
      <x:c r="C807" s="16" t="e">
        <x:f>HYPERLINK("https://pokecottage.com/pokemon-master-sets/beartic","Beartic")</x:f>
        <x:v>HYPERLINK is not implemented. linkLocation=https://pokecottage.com/pokemon-master-sets/beartic, friendlyName=Beartic</x:v>
      </x:c>
      <x:c r="D807" s="8" t="str">
        <x:v>Gen 5 • Unova</x:v>
      </x:c>
      <x:c r="E807" s="8"/>
      <x:c r="F807" s="8"/>
    </x:row>
    <x:row r="808" ht="25" customHeight="1">
      <x:c r="A808" s="13" t="str">
        <x:v>☐</x:v>
      </x:c>
      <x:c r="B808" s="11" t="n">
        <x:v>615</x:v>
      </x:c>
      <x:c r="C808" s="15" t="e">
        <x:f>HYPERLINK("https://pokecottage.com/pokemon-master-sets/cryogonal","Cryogonal")</x:f>
        <x:v>HYPERLINK is not implemented. linkLocation=https://pokecottage.com/pokemon-master-sets/cryogonal, friendlyName=Cryogonal</x:v>
      </x:c>
      <x:c r="D808" s="7" t="str">
        <x:v>Gen 5 • Unova</x:v>
      </x:c>
      <x:c r="E808" s="7"/>
      <x:c r="F808" s="7"/>
    </x:row>
    <x:row r="809" ht="25" customHeight="1">
      <x:c r="A809" s="14" t="str">
        <x:v>☐</x:v>
      </x:c>
      <x:c r="B809" s="12" t="n">
        <x:v>616</x:v>
      </x:c>
      <x:c r="C809" s="16" t="e">
        <x:f>HYPERLINK("https://pokecottage.com/pokemon-master-sets/shelmet","Shelmet")</x:f>
        <x:v>HYPERLINK is not implemented. linkLocation=https://pokecottage.com/pokemon-master-sets/shelmet, friendlyName=Shelmet</x:v>
      </x:c>
      <x:c r="D809" s="8" t="str">
        <x:v>Gen 5 • Unova</x:v>
      </x:c>
      <x:c r="E809" s="8"/>
      <x:c r="F809" s="8"/>
    </x:row>
    <x:row r="810" ht="25" customHeight="1">
      <x:c r="A810" s="13" t="str">
        <x:v>☐</x:v>
      </x:c>
      <x:c r="B810" s="11" t="n">
        <x:v>617</x:v>
      </x:c>
      <x:c r="C810" s="15" t="e">
        <x:f>HYPERLINK("https://pokecottage.com/pokemon-master-sets/accelgor","Accelgor")</x:f>
        <x:v>HYPERLINK is not implemented. linkLocation=https://pokecottage.com/pokemon-master-sets/accelgor, friendlyName=Accelgor</x:v>
      </x:c>
      <x:c r="D810" s="7" t="str">
        <x:v>Gen 5 • Unova</x:v>
      </x:c>
      <x:c r="E810" s="7"/>
      <x:c r="F810" s="7"/>
    </x:row>
    <x:row r="811" ht="25" customHeight="1">
      <x:c r="A811" s="14" t="str">
        <x:v>☐</x:v>
      </x:c>
      <x:c r="B811" s="12" t="n">
        <x:v>618</x:v>
      </x:c>
      <x:c r="C811" s="16" t="e">
        <x:f>HYPERLINK("https://pokecottage.com/pokemon-master-sets/stunfisk","Stunfisk")</x:f>
        <x:v>HYPERLINK is not implemented. linkLocation=https://pokecottage.com/pokemon-master-sets/stunfisk, friendlyName=Stunfisk</x:v>
      </x:c>
      <x:c r="D811" s="8" t="str">
        <x:v>Gen 5 • Unova</x:v>
      </x:c>
      <x:c r="E811" s="8"/>
      <x:c r="F811" s="8"/>
    </x:row>
    <x:row r="812" ht="25" customHeight="1">
      <x:c r="A812" s="13" t="str">
        <x:v>☐</x:v>
      </x:c>
      <x:c r="B812" s="11" t="n">
        <x:v>618</x:v>
      </x:c>
      <x:c r="C812" s="15" t="e">
        <x:f>HYPERLINK("https://pokecottage.com/pokemon-master-sets/stunfisk","Galarian Stunfisk")</x:f>
        <x:v>HYPERLINK is not implemented. linkLocation=https://pokecottage.com/pokemon-master-sets/stunfisk, friendlyName=Galarian Stunfisk</x:v>
      </x:c>
      <x:c r="D812" s="7" t="str">
        <x:v>Regional</x:v>
      </x:c>
      <x:c r="E812" s="7"/>
      <x:c r="F812" s="7"/>
    </x:row>
    <x:row r="813" ht="25" customHeight="1">
      <x:c r="A813" s="14" t="str">
        <x:v>☐</x:v>
      </x:c>
      <x:c r="B813" s="12" t="n">
        <x:v>619</x:v>
      </x:c>
      <x:c r="C813" s="16" t="e">
        <x:f>HYPERLINK("https://pokecottage.com/pokemon-master-sets/mienfoo","Mienfoo")</x:f>
        <x:v>HYPERLINK is not implemented. linkLocation=https://pokecottage.com/pokemon-master-sets/mienfoo, friendlyName=Mienfoo</x:v>
      </x:c>
      <x:c r="D813" s="8" t="str">
        <x:v>Gen 5 • Unova</x:v>
      </x:c>
      <x:c r="E813" s="8"/>
      <x:c r="F813" s="8"/>
    </x:row>
    <x:row r="814" ht="25" customHeight="1">
      <x:c r="A814" s="13" t="str">
        <x:v>☐</x:v>
      </x:c>
      <x:c r="B814" s="11" t="n">
        <x:v>620</x:v>
      </x:c>
      <x:c r="C814" s="15" t="e">
        <x:f>HYPERLINK("https://pokecottage.com/pokemon-master-sets/mienshao","Mienshao")</x:f>
        <x:v>HYPERLINK is not implemented. linkLocation=https://pokecottage.com/pokemon-master-sets/mienshao, friendlyName=Mienshao</x:v>
      </x:c>
      <x:c r="D814" s="7" t="str">
        <x:v>Gen 5 • Unova</x:v>
      </x:c>
      <x:c r="E814" s="7"/>
      <x:c r="F814" s="7"/>
    </x:row>
    <x:row r="815" ht="25" customHeight="1">
      <x:c r="A815" s="14" t="str">
        <x:v>☐</x:v>
      </x:c>
      <x:c r="B815" s="12" t="n">
        <x:v>621</x:v>
      </x:c>
      <x:c r="C815" s="16" t="e">
        <x:f>HYPERLINK("https://pokecottage.com/pokemon-master-sets/druddigon","Druddigon")</x:f>
        <x:v>HYPERLINK is not implemented. linkLocation=https://pokecottage.com/pokemon-master-sets/druddigon, friendlyName=Druddigon</x:v>
      </x:c>
      <x:c r="D815" s="8" t="str">
        <x:v>Gen 5 • Unova</x:v>
      </x:c>
      <x:c r="E815" s="8"/>
      <x:c r="F815" s="8"/>
    </x:row>
    <x:row r="816" ht="25" customHeight="1">
      <x:c r="A816" s="13" t="str">
        <x:v>☐</x:v>
      </x:c>
      <x:c r="B816" s="11" t="n">
        <x:v>622</x:v>
      </x:c>
      <x:c r="C816" s="15" t="e">
        <x:f>HYPERLINK("https://pokecottage.com/pokemon-master-sets/golett","Golett")</x:f>
        <x:v>HYPERLINK is not implemented. linkLocation=https://pokecottage.com/pokemon-master-sets/golett, friendlyName=Golett</x:v>
      </x:c>
      <x:c r="D816" s="7" t="str">
        <x:v>Gen 5 • Unova</x:v>
      </x:c>
      <x:c r="E816" s="7"/>
      <x:c r="F816" s="7"/>
    </x:row>
    <x:row r="817" ht="25" customHeight="1">
      <x:c r="A817" s="14" t="str">
        <x:v>☐</x:v>
      </x:c>
      <x:c r="B817" s="12" t="n">
        <x:v>623</x:v>
      </x:c>
      <x:c r="C817" s="16" t="e">
        <x:f>HYPERLINK("https://pokecottage.com/pokemon-master-sets/golurk","Golurk")</x:f>
        <x:v>HYPERLINK is not implemented. linkLocation=https://pokecottage.com/pokemon-master-sets/golurk, friendlyName=Golurk</x:v>
      </x:c>
      <x:c r="D817" s="8" t="str">
        <x:v>Gen 5 • Unova</x:v>
      </x:c>
      <x:c r="E817" s="8"/>
      <x:c r="F817" s="8"/>
    </x:row>
    <x:row r="818" ht="25" customHeight="1">
      <x:c r="A818" s="13" t="str">
        <x:v>☐</x:v>
      </x:c>
      <x:c r="B818" s="11" t="n">
        <x:v>623</x:v>
      </x:c>
      <x:c r="C818" s="15" t="e">
        <x:f>HYPERLINK("https://pokecottage.com/pokemon-master-sets/golurk","Mega Golurk")</x:f>
        <x:v>HYPERLINK is not implemented. linkLocation=https://pokecottage.com/pokemon-master-sets/golurk, friendlyName=Mega Golurk</x:v>
      </x:c>
      <x:c r="D818" s="7" t="str">
        <x:v>Mega Evolution</x:v>
      </x:c>
      <x:c r="E818" s="7"/>
      <x:c r="F818" s="7"/>
    </x:row>
    <x:row r="819" ht="25" customHeight="1">
      <x:c r="A819" s="14" t="str">
        <x:v>☐</x:v>
      </x:c>
      <x:c r="B819" s="12" t="n">
        <x:v>624</x:v>
      </x:c>
      <x:c r="C819" s="16" t="e">
        <x:f>HYPERLINK("https://pokecottage.com/pokemon-master-sets/pawniard","Pawniard")</x:f>
        <x:v>HYPERLINK is not implemented. linkLocation=https://pokecottage.com/pokemon-master-sets/pawniard, friendlyName=Pawniard</x:v>
      </x:c>
      <x:c r="D819" s="8" t="str">
        <x:v>Gen 5 • Unova</x:v>
      </x:c>
      <x:c r="E819" s="8"/>
      <x:c r="F819" s="8"/>
    </x:row>
    <x:row r="820" ht="25" customHeight="1">
      <x:c r="A820" s="13" t="str">
        <x:v>☐</x:v>
      </x:c>
      <x:c r="B820" s="11" t="n">
        <x:v>625</x:v>
      </x:c>
      <x:c r="C820" s="15" t="e">
        <x:f>HYPERLINK("https://pokecottage.com/pokemon-master-sets/bisharp","Bisharp")</x:f>
        <x:v>HYPERLINK is not implemented. linkLocation=https://pokecottage.com/pokemon-master-sets/bisharp, friendlyName=Bisharp</x:v>
      </x:c>
      <x:c r="D820" s="7" t="str">
        <x:v>Gen 5 • Unova</x:v>
      </x:c>
      <x:c r="E820" s="7"/>
      <x:c r="F820" s="7"/>
    </x:row>
    <x:row r="821" ht="25" customHeight="1">
      <x:c r="A821" s="14" t="str">
        <x:v>☐</x:v>
      </x:c>
      <x:c r="B821" s="12" t="n">
        <x:v>626</x:v>
      </x:c>
      <x:c r="C821" s="16" t="e">
        <x:f>HYPERLINK("https://pokecottage.com/pokemon-master-sets/bouffalant","Bouffalant")</x:f>
        <x:v>HYPERLINK is not implemented. linkLocation=https://pokecottage.com/pokemon-master-sets/bouffalant, friendlyName=Bouffalant</x:v>
      </x:c>
      <x:c r="D821" s="8" t="str">
        <x:v>Gen 5 • Unova</x:v>
      </x:c>
      <x:c r="E821" s="8"/>
      <x:c r="F821" s="8"/>
    </x:row>
    <x:row r="822" ht="25" customHeight="1">
      <x:c r="A822" s="13" t="str">
        <x:v>☐</x:v>
      </x:c>
      <x:c r="B822" s="11" t="n">
        <x:v>627</x:v>
      </x:c>
      <x:c r="C822" s="15" t="e">
        <x:f>HYPERLINK("https://pokecottage.com/pokemon-master-sets/rufflet","Rufflet")</x:f>
        <x:v>HYPERLINK is not implemented. linkLocation=https://pokecottage.com/pokemon-master-sets/rufflet, friendlyName=Rufflet</x:v>
      </x:c>
      <x:c r="D822" s="7" t="str">
        <x:v>Gen 5 • Unova</x:v>
      </x:c>
      <x:c r="E822" s="7"/>
      <x:c r="F822" s="7"/>
    </x:row>
    <x:row r="823" ht="25" customHeight="1">
      <x:c r="A823" s="14" t="str">
        <x:v>☐</x:v>
      </x:c>
      <x:c r="B823" s="12" t="n">
        <x:v>628</x:v>
      </x:c>
      <x:c r="C823" s="16" t="e">
        <x:f>HYPERLINK("https://pokecottage.com/pokemon-master-sets/braviary","Braviary")</x:f>
        <x:v>HYPERLINK is not implemented. linkLocation=https://pokecottage.com/pokemon-master-sets/braviary, friendlyName=Braviary</x:v>
      </x:c>
      <x:c r="D823" s="8" t="str">
        <x:v>Gen 5 • Unova</x:v>
      </x:c>
      <x:c r="E823" s="8"/>
      <x:c r="F823" s="8"/>
    </x:row>
    <x:row r="824" ht="25" customHeight="1">
      <x:c r="A824" s="13" t="str">
        <x:v>☐</x:v>
      </x:c>
      <x:c r="B824" s="11" t="n">
        <x:v>628</x:v>
      </x:c>
      <x:c r="C824" s="15" t="e">
        <x:f>HYPERLINK("https://pokecottage.com/pokemon-master-sets/braviary","Hisuian Braviary")</x:f>
        <x:v>HYPERLINK is not implemented. linkLocation=https://pokecottage.com/pokemon-master-sets/braviary, friendlyName=Hisuian Braviary</x:v>
      </x:c>
      <x:c r="D824" s="7" t="str">
        <x:v>Regional</x:v>
      </x:c>
      <x:c r="E824" s="7"/>
      <x:c r="F824" s="7"/>
    </x:row>
    <x:row r="825" ht="25" customHeight="1">
      <x:c r="A825" s="14" t="str">
        <x:v>☐</x:v>
      </x:c>
      <x:c r="B825" s="12" t="n">
        <x:v>629</x:v>
      </x:c>
      <x:c r="C825" s="16" t="e">
        <x:f>HYPERLINK("https://pokecottage.com/pokemon-master-sets/vullaby","Vullaby")</x:f>
        <x:v>HYPERLINK is not implemented. linkLocation=https://pokecottage.com/pokemon-master-sets/vullaby, friendlyName=Vullaby</x:v>
      </x:c>
      <x:c r="D825" s="8" t="str">
        <x:v>Gen 5 • Unova</x:v>
      </x:c>
      <x:c r="E825" s="8"/>
      <x:c r="F825" s="8"/>
    </x:row>
    <x:row r="826" ht="25" customHeight="1">
      <x:c r="A826" s="13" t="str">
        <x:v>☐</x:v>
      </x:c>
      <x:c r="B826" s="11" t="n">
        <x:v>630</x:v>
      </x:c>
      <x:c r="C826" s="15" t="e">
        <x:f>HYPERLINK("https://pokecottage.com/pokemon-master-sets/mandibuzz","Mandibuzz")</x:f>
        <x:v>HYPERLINK is not implemented. linkLocation=https://pokecottage.com/pokemon-master-sets/mandibuzz, friendlyName=Mandibuzz</x:v>
      </x:c>
      <x:c r="D826" s="7" t="str">
        <x:v>Gen 5 • Unova</x:v>
      </x:c>
      <x:c r="E826" s="7"/>
      <x:c r="F826" s="7"/>
    </x:row>
    <x:row r="827" ht="25" customHeight="1">
      <x:c r="A827" s="14" t="str">
        <x:v>☐</x:v>
      </x:c>
      <x:c r="B827" s="12" t="n">
        <x:v>631</x:v>
      </x:c>
      <x:c r="C827" s="16" t="e">
        <x:f>HYPERLINK("https://pokecottage.com/pokemon-master-sets/heatmor","Heatmor")</x:f>
        <x:v>HYPERLINK is not implemented. linkLocation=https://pokecottage.com/pokemon-master-sets/heatmor, friendlyName=Heatmor</x:v>
      </x:c>
      <x:c r="D827" s="8" t="str">
        <x:v>Gen 5 • Unova</x:v>
      </x:c>
      <x:c r="E827" s="8"/>
      <x:c r="F827" s="8"/>
    </x:row>
    <x:row r="828" ht="25" customHeight="1">
      <x:c r="A828" s="13" t="str">
        <x:v>☐</x:v>
      </x:c>
      <x:c r="B828" s="11" t="n">
        <x:v>632</x:v>
      </x:c>
      <x:c r="C828" s="15" t="e">
        <x:f>HYPERLINK("https://pokecottage.com/pokemon-master-sets/durant","Durant")</x:f>
        <x:v>HYPERLINK is not implemented. linkLocation=https://pokecottage.com/pokemon-master-sets/durant, friendlyName=Durant</x:v>
      </x:c>
      <x:c r="D828" s="7" t="str">
        <x:v>Gen 5 • Unova</x:v>
      </x:c>
      <x:c r="E828" s="7"/>
      <x:c r="F828" s="7"/>
    </x:row>
    <x:row r="829" ht="25" customHeight="1">
      <x:c r="A829" s="14" t="str">
        <x:v>☐</x:v>
      </x:c>
      <x:c r="B829" s="12" t="n">
        <x:v>633</x:v>
      </x:c>
      <x:c r="C829" s="16" t="e">
        <x:f>HYPERLINK("https://pokecottage.com/pokemon-master-sets/deino","Deino")</x:f>
        <x:v>HYPERLINK is not implemented. linkLocation=https://pokecottage.com/pokemon-master-sets/deino, friendlyName=Deino</x:v>
      </x:c>
      <x:c r="D829" s="8" t="str">
        <x:v>Gen 5 • Unova</x:v>
      </x:c>
      <x:c r="E829" s="8"/>
      <x:c r="F829" s="8"/>
    </x:row>
    <x:row r="830" ht="25" customHeight="1">
      <x:c r="A830" s="13" t="str">
        <x:v>☐</x:v>
      </x:c>
      <x:c r="B830" s="11" t="n">
        <x:v>634</x:v>
      </x:c>
      <x:c r="C830" s="15" t="e">
        <x:f>HYPERLINK("https://pokecottage.com/pokemon-master-sets/zweilous","Zweilous")</x:f>
        <x:v>HYPERLINK is not implemented. linkLocation=https://pokecottage.com/pokemon-master-sets/zweilous, friendlyName=Zweilous</x:v>
      </x:c>
      <x:c r="D830" s="7" t="str">
        <x:v>Gen 5 • Unova</x:v>
      </x:c>
      <x:c r="E830" s="7"/>
      <x:c r="F830" s="7"/>
    </x:row>
    <x:row r="831" ht="25" customHeight="1">
      <x:c r="A831" s="14" t="str">
        <x:v>☐</x:v>
      </x:c>
      <x:c r="B831" s="12" t="n">
        <x:v>635</x:v>
      </x:c>
      <x:c r="C831" s="16" t="e">
        <x:f>HYPERLINK("https://pokecottage.com/pokemon-master-sets/hydreigon","Hydreigon")</x:f>
        <x:v>HYPERLINK is not implemented. linkLocation=https://pokecottage.com/pokemon-master-sets/hydreigon, friendlyName=Hydreigon</x:v>
      </x:c>
      <x:c r="D831" s="8" t="str">
        <x:v>Gen 5 • Unova</x:v>
      </x:c>
      <x:c r="E831" s="8"/>
      <x:c r="F831" s="8"/>
    </x:row>
    <x:row r="832" ht="25" customHeight="1">
      <x:c r="A832" s="13" t="str">
        <x:v>☐</x:v>
      </x:c>
      <x:c r="B832" s="11" t="n">
        <x:v>636</x:v>
      </x:c>
      <x:c r="C832" s="15" t="e">
        <x:f>HYPERLINK("https://pokecottage.com/pokemon-master-sets/larvesta","Larvesta")</x:f>
        <x:v>HYPERLINK is not implemented. linkLocation=https://pokecottage.com/pokemon-master-sets/larvesta, friendlyName=Larvesta</x:v>
      </x:c>
      <x:c r="D832" s="7" t="str">
        <x:v>Gen 5 • Unova</x:v>
      </x:c>
      <x:c r="E832" s="7"/>
      <x:c r="F832" s="7"/>
    </x:row>
    <x:row r="833" ht="25" customHeight="1">
      <x:c r="A833" s="14" t="str">
        <x:v>☐</x:v>
      </x:c>
      <x:c r="B833" s="12" t="n">
        <x:v>637</x:v>
      </x:c>
      <x:c r="C833" s="16" t="e">
        <x:f>HYPERLINK("https://pokecottage.com/pokemon-master-sets/volcarona","Volcarona")</x:f>
        <x:v>HYPERLINK is not implemented. linkLocation=https://pokecottage.com/pokemon-master-sets/volcarona, friendlyName=Volcarona</x:v>
      </x:c>
      <x:c r="D833" s="8" t="str">
        <x:v>Gen 5 • Unova</x:v>
      </x:c>
      <x:c r="E833" s="8"/>
      <x:c r="F833" s="8"/>
    </x:row>
    <x:row r="834" ht="25" customHeight="1">
      <x:c r="A834" s="13" t="str">
        <x:v>☐</x:v>
      </x:c>
      <x:c r="B834" s="11" t="n">
        <x:v>638</x:v>
      </x:c>
      <x:c r="C834" s="15" t="e">
        <x:f>HYPERLINK("https://pokecottage.com/pokemon-master-sets/cobalion","Cobalion")</x:f>
        <x:v>HYPERLINK is not implemented. linkLocation=https://pokecottage.com/pokemon-master-sets/cobalion, friendlyName=Cobalion</x:v>
      </x:c>
      <x:c r="D834" s="7" t="str">
        <x:v>Gen 5 • Unova</x:v>
      </x:c>
      <x:c r="E834" s="7"/>
      <x:c r="F834" s="7"/>
    </x:row>
    <x:row r="835" ht="25" customHeight="1">
      <x:c r="A835" s="14" t="str">
        <x:v>☐</x:v>
      </x:c>
      <x:c r="B835" s="12" t="n">
        <x:v>639</x:v>
      </x:c>
      <x:c r="C835" s="16" t="e">
        <x:f>HYPERLINK("https://pokecottage.com/pokemon-master-sets/terrakion","Terrakion")</x:f>
        <x:v>HYPERLINK is not implemented. linkLocation=https://pokecottage.com/pokemon-master-sets/terrakion, friendlyName=Terrakion</x:v>
      </x:c>
      <x:c r="D835" s="8" t="str">
        <x:v>Gen 5 • Unova</x:v>
      </x:c>
      <x:c r="E835" s="8"/>
      <x:c r="F835" s="8"/>
    </x:row>
    <x:row r="836" ht="25" customHeight="1">
      <x:c r="A836" s="13" t="str">
        <x:v>☐</x:v>
      </x:c>
      <x:c r="B836" s="11" t="n">
        <x:v>640</x:v>
      </x:c>
      <x:c r="C836" s="15" t="e">
        <x:f>HYPERLINK("https://pokecottage.com/pokemon-master-sets/virizion","Virizion")</x:f>
        <x:v>HYPERLINK is not implemented. linkLocation=https://pokecottage.com/pokemon-master-sets/virizion, friendlyName=Virizion</x:v>
      </x:c>
      <x:c r="D836" s="7" t="str">
        <x:v>Gen 5 • Unova</x:v>
      </x:c>
      <x:c r="E836" s="7"/>
      <x:c r="F836" s="7"/>
    </x:row>
    <x:row r="837" ht="25" customHeight="1">
      <x:c r="A837" s="14" t="str">
        <x:v>☐</x:v>
      </x:c>
      <x:c r="B837" s="12" t="n">
        <x:v>641</x:v>
      </x:c>
      <x:c r="C837" s="16" t="e">
        <x:f>HYPERLINK("https://pokecottage.com/pokemon-master-sets/tornadus","Tornadus (Incarnate Forme)")</x:f>
        <x:v>HYPERLINK is not implemented. linkLocation=https://pokecottage.com/pokemon-master-sets/tornadus, friendlyName=Tornadus (Incarnate Forme)</x:v>
      </x:c>
      <x:c r="D837" s="8" t="str">
        <x:v>Other Form</x:v>
      </x:c>
      <x:c r="E837" s="8"/>
      <x:c r="F837" s="8"/>
    </x:row>
    <x:row r="838" ht="25" customHeight="1">
      <x:c r="A838" s="13" t="str">
        <x:v>☐</x:v>
      </x:c>
      <x:c r="B838" s="11" t="n">
        <x:v>641</x:v>
      </x:c>
      <x:c r="C838" s="15" t="e">
        <x:f>HYPERLINK("https://pokecottage.com/pokemon-master-sets/tornadus","Tornadus (Therian Forme)")</x:f>
        <x:v>HYPERLINK is not implemented. linkLocation=https://pokecottage.com/pokemon-master-sets/tornadus, friendlyName=Tornadus (Therian Forme)</x:v>
      </x:c>
      <x:c r="D838" s="7" t="str">
        <x:v>Other Form</x:v>
      </x:c>
      <x:c r="E838" s="7"/>
      <x:c r="F838" s="7"/>
    </x:row>
    <x:row r="839" ht="25" customHeight="1">
      <x:c r="A839" s="14" t="str">
        <x:v>☐</x:v>
      </x:c>
      <x:c r="B839" s="12" t="n">
        <x:v>642</x:v>
      </x:c>
      <x:c r="C839" s="16" t="e">
        <x:f>HYPERLINK("https://pokecottage.com/pokemon-master-sets/thundurus","Thundurus (Incarnate Forme)")</x:f>
        <x:v>HYPERLINK is not implemented. linkLocation=https://pokecottage.com/pokemon-master-sets/thundurus, friendlyName=Thundurus (Incarnate Forme)</x:v>
      </x:c>
      <x:c r="D839" s="8" t="str">
        <x:v>Other Form</x:v>
      </x:c>
      <x:c r="E839" s="8"/>
      <x:c r="F839" s="8"/>
    </x:row>
    <x:row r="840" ht="25" customHeight="1">
      <x:c r="A840" s="13" t="str">
        <x:v>☐</x:v>
      </x:c>
      <x:c r="B840" s="11" t="n">
        <x:v>642</x:v>
      </x:c>
      <x:c r="C840" s="15" t="e">
        <x:f>HYPERLINK("https://pokecottage.com/pokemon-master-sets/thundurus","Thundurus (Therian Forme)")</x:f>
        <x:v>HYPERLINK is not implemented. linkLocation=https://pokecottage.com/pokemon-master-sets/thundurus, friendlyName=Thundurus (Therian Forme)</x:v>
      </x:c>
      <x:c r="D840" s="7" t="str">
        <x:v>Other Form</x:v>
      </x:c>
      <x:c r="E840" s="7"/>
      <x:c r="F840" s="7"/>
    </x:row>
    <x:row r="841" ht="25" customHeight="1">
      <x:c r="A841" s="14" t="str">
        <x:v>☐</x:v>
      </x:c>
      <x:c r="B841" s="12" t="n">
        <x:v>643</x:v>
      </x:c>
      <x:c r="C841" s="16" t="e">
        <x:f>HYPERLINK("https://pokecottage.com/pokemon-master-sets/reshiram","Reshiram")</x:f>
        <x:v>HYPERLINK is not implemented. linkLocation=https://pokecottage.com/pokemon-master-sets/reshiram, friendlyName=Reshiram</x:v>
      </x:c>
      <x:c r="D841" s="8" t="str">
        <x:v>Gen 5 • Unova</x:v>
      </x:c>
      <x:c r="E841" s="8"/>
      <x:c r="F841" s="8"/>
    </x:row>
    <x:row r="842" ht="25" customHeight="1">
      <x:c r="A842" s="13" t="str">
        <x:v>☐</x:v>
      </x:c>
      <x:c r="B842" s="11" t="n">
        <x:v>644</x:v>
      </x:c>
      <x:c r="C842" s="15" t="e">
        <x:f>HYPERLINK("https://pokecottage.com/pokemon-master-sets/zekrom","Zekrom")</x:f>
        <x:v>HYPERLINK is not implemented. linkLocation=https://pokecottage.com/pokemon-master-sets/zekrom, friendlyName=Zekrom</x:v>
      </x:c>
      <x:c r="D842" s="7" t="str">
        <x:v>Gen 5 • Unova</x:v>
      </x:c>
      <x:c r="E842" s="7"/>
      <x:c r="F842" s="7"/>
    </x:row>
    <x:row r="843" ht="25" customHeight="1">
      <x:c r="A843" s="14" t="str">
        <x:v>☐</x:v>
      </x:c>
      <x:c r="B843" s="12" t="n">
        <x:v>645</x:v>
      </x:c>
      <x:c r="C843" s="16" t="e">
        <x:f>HYPERLINK("https://pokecottage.com/pokemon-master-sets/landorus","Landorus (Incarnate Forme)")</x:f>
        <x:v>HYPERLINK is not implemented. linkLocation=https://pokecottage.com/pokemon-master-sets/landorus, friendlyName=Landorus (Incarnate Forme)</x:v>
      </x:c>
      <x:c r="D843" s="8" t="str">
        <x:v>Other Form</x:v>
      </x:c>
      <x:c r="E843" s="8"/>
      <x:c r="F843" s="8"/>
    </x:row>
    <x:row r="844" ht="25" customHeight="1">
      <x:c r="A844" s="13" t="str">
        <x:v>☐</x:v>
      </x:c>
      <x:c r="B844" s="11" t="n">
        <x:v>645</x:v>
      </x:c>
      <x:c r="C844" s="15" t="e">
        <x:f>HYPERLINK("https://pokecottage.com/pokemon-master-sets/landorus","Landorus (Therian Forme)")</x:f>
        <x:v>HYPERLINK is not implemented. linkLocation=https://pokecottage.com/pokemon-master-sets/landorus, friendlyName=Landorus (Therian Forme)</x:v>
      </x:c>
      <x:c r="D844" s="7" t="str">
        <x:v>Other Form</x:v>
      </x:c>
      <x:c r="E844" s="7"/>
      <x:c r="F844" s="7"/>
    </x:row>
    <x:row r="845" ht="25" customHeight="1">
      <x:c r="A845" s="14" t="str">
        <x:v>☐</x:v>
      </x:c>
      <x:c r="B845" s="12" t="n">
        <x:v>646</x:v>
      </x:c>
      <x:c r="C845" s="16" t="e">
        <x:f>HYPERLINK("https://pokecottage.com/pokemon-master-sets/kyurem","Kyurem")</x:f>
        <x:v>HYPERLINK is not implemented. linkLocation=https://pokecottage.com/pokemon-master-sets/kyurem, friendlyName=Kyurem</x:v>
      </x:c>
      <x:c r="D845" s="8" t="str">
        <x:v>Other Form</x:v>
      </x:c>
      <x:c r="E845" s="8"/>
      <x:c r="F845" s="8"/>
    </x:row>
    <x:row r="846" ht="25" customHeight="1">
      <x:c r="A846" s="13" t="str">
        <x:v>☐</x:v>
      </x:c>
      <x:c r="B846" s="11" t="n">
        <x:v>646</x:v>
      </x:c>
      <x:c r="C846" s="15" t="e">
        <x:f>HYPERLINK("https://pokecottage.com/pokemon-master-sets/kyurem","White Kyurem")</x:f>
        <x:v>HYPERLINK is not implemented. linkLocation=https://pokecottage.com/pokemon-master-sets/kyurem, friendlyName=White Kyurem</x:v>
      </x:c>
      <x:c r="D846" s="7" t="str">
        <x:v>Other Form</x:v>
      </x:c>
      <x:c r="E846" s="7"/>
      <x:c r="F846" s="7"/>
    </x:row>
    <x:row r="847" ht="25" customHeight="1">
      <x:c r="A847" s="14" t="str">
        <x:v>☐</x:v>
      </x:c>
      <x:c r="B847" s="12" t="n">
        <x:v>646</x:v>
      </x:c>
      <x:c r="C847" s="16" t="e">
        <x:f>HYPERLINK("https://pokecottage.com/pokemon-master-sets/kyurem","Black Kyurem")</x:f>
        <x:v>HYPERLINK is not implemented. linkLocation=https://pokecottage.com/pokemon-master-sets/kyurem, friendlyName=Black Kyurem</x:v>
      </x:c>
      <x:c r="D847" s="8" t="str">
        <x:v>Other Form</x:v>
      </x:c>
      <x:c r="E847" s="8"/>
      <x:c r="F847" s="8"/>
    </x:row>
    <x:row r="848" ht="25" customHeight="1">
      <x:c r="A848" s="13" t="str">
        <x:v>☐</x:v>
      </x:c>
      <x:c r="B848" s="11" t="n">
        <x:v>647</x:v>
      </x:c>
      <x:c r="C848" s="15" t="e">
        <x:f>HYPERLINK("https://pokecottage.com/pokemon-master-sets/keldeo","Keldeo (Ordinary Form)")</x:f>
        <x:v>HYPERLINK is not implemented. linkLocation=https://pokecottage.com/pokemon-master-sets/keldeo, friendlyName=Keldeo (Ordinary Form)</x:v>
      </x:c>
      <x:c r="D848" s="7" t="str">
        <x:v>Other Form</x:v>
      </x:c>
      <x:c r="E848" s="7"/>
      <x:c r="F848" s="7"/>
    </x:row>
    <x:row r="849" ht="25" customHeight="1">
      <x:c r="A849" s="14" t="str">
        <x:v>☐</x:v>
      </x:c>
      <x:c r="B849" s="12" t="n">
        <x:v>647</x:v>
      </x:c>
      <x:c r="C849" s="16" t="e">
        <x:f>HYPERLINK("https://pokecottage.com/pokemon-master-sets/keldeo","Keldeo (Resolute Form)")</x:f>
        <x:v>HYPERLINK is not implemented. linkLocation=https://pokecottage.com/pokemon-master-sets/keldeo, friendlyName=Keldeo (Resolute Form)</x:v>
      </x:c>
      <x:c r="D849" s="8" t="str">
        <x:v>Other Form</x:v>
      </x:c>
      <x:c r="E849" s="8"/>
      <x:c r="F849" s="8"/>
    </x:row>
    <x:row r="850" ht="25" customHeight="1">
      <x:c r="A850" s="13" t="str">
        <x:v>☐</x:v>
      </x:c>
      <x:c r="B850" s="11" t="n">
        <x:v>648</x:v>
      </x:c>
      <x:c r="C850" s="15" t="e">
        <x:f>HYPERLINK("https://pokecottage.com/pokemon-master-sets/meloetta","Meloetta (Aria Forme)")</x:f>
        <x:v>HYPERLINK is not implemented. linkLocation=https://pokecottage.com/pokemon-master-sets/meloetta, friendlyName=Meloetta (Aria Forme)</x:v>
      </x:c>
      <x:c r="D850" s="7" t="str">
        <x:v>Other Form</x:v>
      </x:c>
      <x:c r="E850" s="7"/>
      <x:c r="F850" s="7"/>
    </x:row>
    <x:row r="851" ht="25" customHeight="1">
      <x:c r="A851" s="14" t="str">
        <x:v>☐</x:v>
      </x:c>
      <x:c r="B851" s="12" t="n">
        <x:v>648</x:v>
      </x:c>
      <x:c r="C851" s="16" t="e">
        <x:f>HYPERLINK("https://pokecottage.com/pokemon-master-sets/meloetta","Meloetta (Pirouette Forme)")</x:f>
        <x:v>HYPERLINK is not implemented. linkLocation=https://pokecottage.com/pokemon-master-sets/meloetta, friendlyName=Meloetta (Pirouette Forme)</x:v>
      </x:c>
      <x:c r="D851" s="8" t="str">
        <x:v>Other Form</x:v>
      </x:c>
      <x:c r="E851" s="8"/>
      <x:c r="F851" s="8"/>
    </x:row>
    <x:row r="852" ht="25" customHeight="1">
      <x:c r="A852" s="13" t="str">
        <x:v>☐</x:v>
      </x:c>
      <x:c r="B852" s="11" t="n">
        <x:v>649</x:v>
      </x:c>
      <x:c r="C852" s="15" t="e">
        <x:f>HYPERLINK("https://pokecottage.com/pokemon-master-sets/genesect","Genesect")</x:f>
        <x:v>HYPERLINK is not implemented. linkLocation=https://pokecottage.com/pokemon-master-sets/genesect, friendlyName=Genesect</x:v>
      </x:c>
      <x:c r="D852" s="7" t="str">
        <x:v>Other Form</x:v>
      </x:c>
      <x:c r="E852" s="7"/>
      <x:c r="F852" s="7"/>
    </x:row>
    <x:row r="853" ht="25" customHeight="1">
      <x:c r="A853" s="14" t="str">
        <x:v>☐</x:v>
      </x:c>
      <x:c r="B853" s="12" t="n">
        <x:v>649</x:v>
      </x:c>
      <x:c r="C853" s="16" t="e">
        <x:f>HYPERLINK("https://pokecottage.com/pokemon-master-sets/genesect","Genesect (Douse Drive)")</x:f>
        <x:v>HYPERLINK is not implemented. linkLocation=https://pokecottage.com/pokemon-master-sets/genesect, friendlyName=Genesect (Douse Drive)</x:v>
      </x:c>
      <x:c r="D853" s="8" t="str">
        <x:v>Other Form</x:v>
      </x:c>
      <x:c r="E853" s="8"/>
      <x:c r="F853" s="8"/>
    </x:row>
    <x:row r="854" ht="25" customHeight="1">
      <x:c r="A854" s="13" t="str">
        <x:v>☐</x:v>
      </x:c>
      <x:c r="B854" s="11" t="n">
        <x:v>649</x:v>
      </x:c>
      <x:c r="C854" s="15" t="e">
        <x:f>HYPERLINK("https://pokecottage.com/pokemon-master-sets/genesect","Genesect (Shock Drive)")</x:f>
        <x:v>HYPERLINK is not implemented. linkLocation=https://pokecottage.com/pokemon-master-sets/genesect, friendlyName=Genesect (Shock Drive)</x:v>
      </x:c>
      <x:c r="D854" s="7" t="str">
        <x:v>Other Form</x:v>
      </x:c>
      <x:c r="E854" s="7"/>
      <x:c r="F854" s="7"/>
    </x:row>
    <x:row r="855" ht="25" customHeight="1">
      <x:c r="A855" s="14" t="str">
        <x:v>☐</x:v>
      </x:c>
      <x:c r="B855" s="12" t="n">
        <x:v>649</x:v>
      </x:c>
      <x:c r="C855" s="16" t="e">
        <x:f>HYPERLINK("https://pokecottage.com/pokemon-master-sets/genesect","Genesect (Burn Drive)")</x:f>
        <x:v>HYPERLINK is not implemented. linkLocation=https://pokecottage.com/pokemon-master-sets/genesect, friendlyName=Genesect (Burn Drive)</x:v>
      </x:c>
      <x:c r="D855" s="8" t="str">
        <x:v>Other Form</x:v>
      </x:c>
      <x:c r="E855" s="8"/>
      <x:c r="F855" s="8"/>
    </x:row>
    <x:row r="856" ht="25" customHeight="1">
      <x:c r="A856" s="13" t="str">
        <x:v>☐</x:v>
      </x:c>
      <x:c r="B856" s="11" t="n">
        <x:v>649</x:v>
      </x:c>
      <x:c r="C856" s="15" t="e">
        <x:f>HYPERLINK("https://pokecottage.com/pokemon-master-sets/genesect","Genesect (Chill Drive)")</x:f>
        <x:v>HYPERLINK is not implemented. linkLocation=https://pokecottage.com/pokemon-master-sets/genesect, friendlyName=Genesect (Chill Drive)</x:v>
      </x:c>
      <x:c r="D856" s="7" t="str">
        <x:v>Other Form</x:v>
      </x:c>
      <x:c r="E856" s="7"/>
      <x:c r="F856" s="7"/>
    </x:row>
    <x:row r="857" ht="25" customHeight="1">
      <x:c r="A857" s="14" t="str">
        <x:v>☐</x:v>
      </x:c>
      <x:c r="B857" s="12" t="n">
        <x:v>650</x:v>
      </x:c>
      <x:c r="C857" s="16" t="e">
        <x:f>HYPERLINK("https://pokecottage.com/pokemon-master-sets/chespin","Chespin")</x:f>
        <x:v>HYPERLINK is not implemented. linkLocation=https://pokecottage.com/pokemon-master-sets/chespin, friendlyName=Chespin</x:v>
      </x:c>
      <x:c r="D857" s="8" t="str">
        <x:v>Gen 6 • Kalos</x:v>
      </x:c>
      <x:c r="E857" s="8"/>
      <x:c r="F857" s="8"/>
    </x:row>
    <x:row r="858" ht="25" customHeight="1">
      <x:c r="A858" s="13" t="str">
        <x:v>☐</x:v>
      </x:c>
      <x:c r="B858" s="11" t="n">
        <x:v>651</x:v>
      </x:c>
      <x:c r="C858" s="15" t="e">
        <x:f>HYPERLINK("https://pokecottage.com/pokemon-master-sets/quilladin","Quilladin")</x:f>
        <x:v>HYPERLINK is not implemented. linkLocation=https://pokecottage.com/pokemon-master-sets/quilladin, friendlyName=Quilladin</x:v>
      </x:c>
      <x:c r="D858" s="7" t="str">
        <x:v>Gen 6 • Kalos</x:v>
      </x:c>
      <x:c r="E858" s="7"/>
      <x:c r="F858" s="7"/>
    </x:row>
    <x:row r="859" ht="25" customHeight="1">
      <x:c r="A859" s="14" t="str">
        <x:v>☐</x:v>
      </x:c>
      <x:c r="B859" s="12" t="n">
        <x:v>652</x:v>
      </x:c>
      <x:c r="C859" s="16" t="e">
        <x:f>HYPERLINK("https://pokecottage.com/pokemon-master-sets/chesnaught","Chesnaught")</x:f>
        <x:v>HYPERLINK is not implemented. linkLocation=https://pokecottage.com/pokemon-master-sets/chesnaught, friendlyName=Chesnaught</x:v>
      </x:c>
      <x:c r="D859" s="8" t="str">
        <x:v>Gen 6 • Kalos</x:v>
      </x:c>
      <x:c r="E859" s="8"/>
      <x:c r="F859" s="8"/>
    </x:row>
    <x:row r="860" ht="25" customHeight="1">
      <x:c r="A860" s="13" t="str">
        <x:v>☐</x:v>
      </x:c>
      <x:c r="B860" s="11" t="n">
        <x:v>652</x:v>
      </x:c>
      <x:c r="C860" s="15" t="e">
        <x:f>HYPERLINK("https://pokecottage.com/pokemon-master-sets/chesnaught","Mega Chesnaught")</x:f>
        <x:v>HYPERLINK is not implemented. linkLocation=https://pokecottage.com/pokemon-master-sets/chesnaught, friendlyName=Mega Chesnaught</x:v>
      </x:c>
      <x:c r="D860" s="7" t="str">
        <x:v>Mega Evolution</x:v>
      </x:c>
      <x:c r="E860" s="7"/>
      <x:c r="F860" s="7"/>
    </x:row>
    <x:row r="861" ht="25" customHeight="1">
      <x:c r="A861" s="14" t="str">
        <x:v>☐</x:v>
      </x:c>
      <x:c r="B861" s="12" t="n">
        <x:v>653</x:v>
      </x:c>
      <x:c r="C861" s="16" t="e">
        <x:f>HYPERLINK("https://pokecottage.com/pokemon-master-sets/fennekin","Fennekin")</x:f>
        <x:v>HYPERLINK is not implemented. linkLocation=https://pokecottage.com/pokemon-master-sets/fennekin, friendlyName=Fennekin</x:v>
      </x:c>
      <x:c r="D861" s="8" t="str">
        <x:v>Gen 6 • Kalos</x:v>
      </x:c>
      <x:c r="E861" s="8"/>
      <x:c r="F861" s="8"/>
    </x:row>
    <x:row r="862" ht="25" customHeight="1">
      <x:c r="A862" s="13" t="str">
        <x:v>☐</x:v>
      </x:c>
      <x:c r="B862" s="11" t="n">
        <x:v>654</x:v>
      </x:c>
      <x:c r="C862" s="15" t="e">
        <x:f>HYPERLINK("https://pokecottage.com/pokemon-master-sets/braixen","Braixen")</x:f>
        <x:v>HYPERLINK is not implemented. linkLocation=https://pokecottage.com/pokemon-master-sets/braixen, friendlyName=Braixen</x:v>
      </x:c>
      <x:c r="D862" s="7" t="str">
        <x:v>Gen 6 • Kalos</x:v>
      </x:c>
      <x:c r="E862" s="7"/>
      <x:c r="F862" s="7"/>
    </x:row>
    <x:row r="863" ht="25" customHeight="1">
      <x:c r="A863" s="14" t="str">
        <x:v>☐</x:v>
      </x:c>
      <x:c r="B863" s="12" t="n">
        <x:v>655</x:v>
      </x:c>
      <x:c r="C863" s="16" t="e">
        <x:f>HYPERLINK("https://pokecottage.com/pokemon-master-sets/delphox","Delphox")</x:f>
        <x:v>HYPERLINK is not implemented. linkLocation=https://pokecottage.com/pokemon-master-sets/delphox, friendlyName=Delphox</x:v>
      </x:c>
      <x:c r="D863" s="8" t="str">
        <x:v>Gen 6 • Kalos</x:v>
      </x:c>
      <x:c r="E863" s="8"/>
      <x:c r="F863" s="8"/>
    </x:row>
    <x:row r="864" ht="25" customHeight="1">
      <x:c r="A864" s="13" t="str">
        <x:v>☐</x:v>
      </x:c>
      <x:c r="B864" s="11" t="n">
        <x:v>655</x:v>
      </x:c>
      <x:c r="C864" s="15" t="e">
        <x:f>HYPERLINK("https://pokecottage.com/pokemon-master-sets/delphox","Mega Delphox")</x:f>
        <x:v>HYPERLINK is not implemented. linkLocation=https://pokecottage.com/pokemon-master-sets/delphox, friendlyName=Mega Delphox</x:v>
      </x:c>
      <x:c r="D864" s="7" t="str">
        <x:v>Mega Evolution</x:v>
      </x:c>
      <x:c r="E864" s="7"/>
      <x:c r="F864" s="7"/>
    </x:row>
    <x:row r="865" ht="25" customHeight="1">
      <x:c r="A865" s="14" t="str">
        <x:v>☐</x:v>
      </x:c>
      <x:c r="B865" s="12" t="n">
        <x:v>656</x:v>
      </x:c>
      <x:c r="C865" s="16" t="e">
        <x:f>HYPERLINK("https://pokecottage.com/pokemon-master-sets/froakie","Froakie")</x:f>
        <x:v>HYPERLINK is not implemented. linkLocation=https://pokecottage.com/pokemon-master-sets/froakie, friendlyName=Froakie</x:v>
      </x:c>
      <x:c r="D865" s="8" t="str">
        <x:v>Gen 6 • Kalos</x:v>
      </x:c>
      <x:c r="E865" s="8"/>
      <x:c r="F865" s="8"/>
    </x:row>
    <x:row r="866" ht="25" customHeight="1">
      <x:c r="A866" s="13" t="str">
        <x:v>☐</x:v>
      </x:c>
      <x:c r="B866" s="11" t="n">
        <x:v>657</x:v>
      </x:c>
      <x:c r="C866" s="15" t="e">
        <x:f>HYPERLINK("https://pokecottage.com/pokemon-master-sets/frogadier","Frogadier")</x:f>
        <x:v>HYPERLINK is not implemented. linkLocation=https://pokecottage.com/pokemon-master-sets/frogadier, friendlyName=Frogadier</x:v>
      </x:c>
      <x:c r="D866" s="7" t="str">
        <x:v>Gen 6 • Kalos</x:v>
      </x:c>
      <x:c r="E866" s="7"/>
      <x:c r="F866" s="7"/>
    </x:row>
    <x:row r="867" ht="25" customHeight="1">
      <x:c r="A867" s="14" t="str">
        <x:v>☐</x:v>
      </x:c>
      <x:c r="B867" s="12" t="n">
        <x:v>658</x:v>
      </x:c>
      <x:c r="C867" s="16" t="e">
        <x:f>HYPERLINK("https://pokecottage.com/pokemon-master-sets/greninja","Greninja")</x:f>
        <x:v>HYPERLINK is not implemented. linkLocation=https://pokecottage.com/pokemon-master-sets/greninja, friendlyName=Greninja</x:v>
      </x:c>
      <x:c r="D867" s="8" t="str">
        <x:v>Other Form</x:v>
      </x:c>
      <x:c r="E867" s="8"/>
      <x:c r="F867" s="8"/>
    </x:row>
    <x:row r="868" ht="25" customHeight="1">
      <x:c r="A868" s="13" t="str">
        <x:v>☐</x:v>
      </x:c>
      <x:c r="B868" s="11" t="n">
        <x:v>658</x:v>
      </x:c>
      <x:c r="C868" s="15" t="e">
        <x:f>HYPERLINK("https://pokecottage.com/pokemon-master-sets/greninja","Ash-Greninja")</x:f>
        <x:v>HYPERLINK is not implemented. linkLocation=https://pokecottage.com/pokemon-master-sets/greninja, friendlyName=Ash-Greninja</x:v>
      </x:c>
      <x:c r="D868" s="7" t="str">
        <x:v>Other Form</x:v>
      </x:c>
      <x:c r="E868" s="7"/>
      <x:c r="F868" s="7"/>
    </x:row>
    <x:row r="869" ht="25" customHeight="1">
      <x:c r="A869" s="14" t="str">
        <x:v>☐</x:v>
      </x:c>
      <x:c r="B869" s="12" t="n">
        <x:v>658</x:v>
      </x:c>
      <x:c r="C869" s="16" t="e">
        <x:f>HYPERLINK("https://pokecottage.com/pokemon-master-sets/greninja","Mega Greninja")</x:f>
        <x:v>HYPERLINK is not implemented. linkLocation=https://pokecottage.com/pokemon-master-sets/greninja, friendlyName=Mega Greninja</x:v>
      </x:c>
      <x:c r="D869" s="8" t="str">
        <x:v>Mega Evolution</x:v>
      </x:c>
      <x:c r="E869" s="8"/>
      <x:c r="F869" s="8"/>
    </x:row>
    <x:row r="870" ht="25" customHeight="1">
      <x:c r="A870" s="13" t="str">
        <x:v>☐</x:v>
      </x:c>
      <x:c r="B870" s="11" t="n">
        <x:v>659</x:v>
      </x:c>
      <x:c r="C870" s="15" t="e">
        <x:f>HYPERLINK("https://pokecottage.com/pokemon-master-sets/bunnelby","Bunnelby")</x:f>
        <x:v>HYPERLINK is not implemented. linkLocation=https://pokecottage.com/pokemon-master-sets/bunnelby, friendlyName=Bunnelby</x:v>
      </x:c>
      <x:c r="D870" s="7" t="str">
        <x:v>Gen 6 • Kalos</x:v>
      </x:c>
      <x:c r="E870" s="7"/>
      <x:c r="F870" s="7"/>
    </x:row>
    <x:row r="871" ht="25" customHeight="1">
      <x:c r="A871" s="14" t="str">
        <x:v>☐</x:v>
      </x:c>
      <x:c r="B871" s="12" t="n">
        <x:v>660</x:v>
      </x:c>
      <x:c r="C871" s="16" t="e">
        <x:f>HYPERLINK("https://pokecottage.com/pokemon-master-sets/diggersby","Diggersby")</x:f>
        <x:v>HYPERLINK is not implemented. linkLocation=https://pokecottage.com/pokemon-master-sets/diggersby, friendlyName=Diggersby</x:v>
      </x:c>
      <x:c r="D871" s="8" t="str">
        <x:v>Gen 6 • Kalos</x:v>
      </x:c>
      <x:c r="E871" s="8"/>
      <x:c r="F871" s="8"/>
    </x:row>
    <x:row r="872" ht="25" customHeight="1">
      <x:c r="A872" s="13" t="str">
        <x:v>☐</x:v>
      </x:c>
      <x:c r="B872" s="11" t="n">
        <x:v>661</x:v>
      </x:c>
      <x:c r="C872" s="15" t="e">
        <x:f>HYPERLINK("https://pokecottage.com/pokemon-master-sets/fletchling","Fletchling")</x:f>
        <x:v>HYPERLINK is not implemented. linkLocation=https://pokecottage.com/pokemon-master-sets/fletchling, friendlyName=Fletchling</x:v>
      </x:c>
      <x:c r="D872" s="7" t="str">
        <x:v>Gen 6 • Kalos</x:v>
      </x:c>
      <x:c r="E872" s="7"/>
      <x:c r="F872" s="7"/>
    </x:row>
    <x:row r="873" ht="25" customHeight="1">
      <x:c r="A873" s="14" t="str">
        <x:v>☐</x:v>
      </x:c>
      <x:c r="B873" s="12" t="n">
        <x:v>662</x:v>
      </x:c>
      <x:c r="C873" s="16" t="e">
        <x:f>HYPERLINK("https://pokecottage.com/pokemon-master-sets/fletchinder","Fletchinder")</x:f>
        <x:v>HYPERLINK is not implemented. linkLocation=https://pokecottage.com/pokemon-master-sets/fletchinder, friendlyName=Fletchinder</x:v>
      </x:c>
      <x:c r="D873" s="8" t="str">
        <x:v>Gen 6 • Kalos</x:v>
      </x:c>
      <x:c r="E873" s="8"/>
      <x:c r="F873" s="8"/>
    </x:row>
    <x:row r="874" ht="25" customHeight="1">
      <x:c r="A874" s="13" t="str">
        <x:v>☐</x:v>
      </x:c>
      <x:c r="B874" s="11" t="n">
        <x:v>663</x:v>
      </x:c>
      <x:c r="C874" s="15" t="e">
        <x:f>HYPERLINK("https://pokecottage.com/pokemon-master-sets/talonflame","Talonflame")</x:f>
        <x:v>HYPERLINK is not implemented. linkLocation=https://pokecottage.com/pokemon-master-sets/talonflame, friendlyName=Talonflame</x:v>
      </x:c>
      <x:c r="D874" s="7" t="str">
        <x:v>Gen 6 • Kalos</x:v>
      </x:c>
      <x:c r="E874" s="7"/>
      <x:c r="F874" s="7"/>
    </x:row>
    <x:row r="875" ht="25" customHeight="1">
      <x:c r="A875" s="14" t="str">
        <x:v>☐</x:v>
      </x:c>
      <x:c r="B875" s="12" t="n">
        <x:v>664</x:v>
      </x:c>
      <x:c r="C875" s="16" t="e">
        <x:f>HYPERLINK("https://pokecottage.com/pokemon-master-sets/scatterbug","Scatterbug")</x:f>
        <x:v>HYPERLINK is not implemented. linkLocation=https://pokecottage.com/pokemon-master-sets/scatterbug, friendlyName=Scatterbug</x:v>
      </x:c>
      <x:c r="D875" s="8" t="str">
        <x:v>Gen 6 • Kalos</x:v>
      </x:c>
      <x:c r="E875" s="8"/>
      <x:c r="F875" s="8"/>
    </x:row>
    <x:row r="876" ht="25" customHeight="1">
      <x:c r="A876" s="13" t="str">
        <x:v>☐</x:v>
      </x:c>
      <x:c r="B876" s="11" t="n">
        <x:v>665</x:v>
      </x:c>
      <x:c r="C876" s="15" t="e">
        <x:f>HYPERLINK("https://pokecottage.com/pokemon-master-sets/spewpa","Spewpa")</x:f>
        <x:v>HYPERLINK is not implemented. linkLocation=https://pokecottage.com/pokemon-master-sets/spewpa, friendlyName=Spewpa</x:v>
      </x:c>
      <x:c r="D876" s="7" t="str">
        <x:v>Gen 6 • Kalos</x:v>
      </x:c>
      <x:c r="E876" s="7"/>
      <x:c r="F876" s="7"/>
    </x:row>
    <x:row r="877" ht="25" customHeight="1">
      <x:c r="A877" s="14" t="str">
        <x:v>☐</x:v>
      </x:c>
      <x:c r="B877" s="12" t="n">
        <x:v>666</x:v>
      </x:c>
      <x:c r="C877" s="16" t="e">
        <x:f>HYPERLINK("https://pokecottage.com/pokemon-master-sets/vivillon","Vivillon (Icy Snow Pattern)")</x:f>
        <x:v>HYPERLINK is not implemented. linkLocation=https://pokecottage.com/pokemon-master-sets/vivillon, friendlyName=Vivillon (Icy Snow Pattern)</x:v>
      </x:c>
      <x:c r="D877" s="8" t="str">
        <x:v>Other Form</x:v>
      </x:c>
      <x:c r="E877" s="8"/>
      <x:c r="F877" s="8"/>
    </x:row>
    <x:row r="878" ht="25" customHeight="1">
      <x:c r="A878" s="13" t="str">
        <x:v>☐</x:v>
      </x:c>
      <x:c r="B878" s="11" t="n">
        <x:v>666</x:v>
      </x:c>
      <x:c r="C878" s="15" t="e">
        <x:f>HYPERLINK("https://pokecottage.com/pokemon-master-sets/vivillon","Vivillon (Polar Pattern)")</x:f>
        <x:v>HYPERLINK is not implemented. linkLocation=https://pokecottage.com/pokemon-master-sets/vivillon, friendlyName=Vivillon (Polar Pattern)</x:v>
      </x:c>
      <x:c r="D878" s="7" t="str">
        <x:v>Other Form</x:v>
      </x:c>
      <x:c r="E878" s="7"/>
      <x:c r="F878" s="7"/>
    </x:row>
    <x:row r="879" ht="25" customHeight="1">
      <x:c r="A879" s="14" t="str">
        <x:v>☐</x:v>
      </x:c>
      <x:c r="B879" s="12" t="n">
        <x:v>666</x:v>
      </x:c>
      <x:c r="C879" s="16" t="e">
        <x:f>HYPERLINK("https://pokecottage.com/pokemon-master-sets/vivillon","Vivillon (Tundra Pattern)")</x:f>
        <x:v>HYPERLINK is not implemented. linkLocation=https://pokecottage.com/pokemon-master-sets/vivillon, friendlyName=Vivillon (Tundra Pattern)</x:v>
      </x:c>
      <x:c r="D879" s="8" t="str">
        <x:v>Other Form</x:v>
      </x:c>
      <x:c r="E879" s="8"/>
      <x:c r="F879" s="8"/>
    </x:row>
    <x:row r="880" ht="25" customHeight="1">
      <x:c r="A880" s="13" t="str">
        <x:v>☐</x:v>
      </x:c>
      <x:c r="B880" s="11" t="n">
        <x:v>666</x:v>
      </x:c>
      <x:c r="C880" s="15" t="e">
        <x:f>HYPERLINK("https://pokecottage.com/pokemon-master-sets/vivillon","Vivillon (Continental Pattern)")</x:f>
        <x:v>HYPERLINK is not implemented. linkLocation=https://pokecottage.com/pokemon-master-sets/vivillon, friendlyName=Vivillon (Continental Pattern)</x:v>
      </x:c>
      <x:c r="D880" s="7" t="str">
        <x:v>Other Form</x:v>
      </x:c>
      <x:c r="E880" s="7"/>
      <x:c r="F880" s="7"/>
    </x:row>
    <x:row r="881" ht="25" customHeight="1">
      <x:c r="A881" s="14" t="str">
        <x:v>☐</x:v>
      </x:c>
      <x:c r="B881" s="12" t="n">
        <x:v>666</x:v>
      </x:c>
      <x:c r="C881" s="16" t="e">
        <x:f>HYPERLINK("https://pokecottage.com/pokemon-master-sets/vivillon","Vivillon (Garden Pattern)")</x:f>
        <x:v>HYPERLINK is not implemented. linkLocation=https://pokecottage.com/pokemon-master-sets/vivillon, friendlyName=Vivillon (Garden Pattern)</x:v>
      </x:c>
      <x:c r="D881" s="8" t="str">
        <x:v>Other Form</x:v>
      </x:c>
      <x:c r="E881" s="8"/>
      <x:c r="F881" s="8"/>
    </x:row>
    <x:row r="882" ht="25" customHeight="1">
      <x:c r="A882" s="13" t="str">
        <x:v>☐</x:v>
      </x:c>
      <x:c r="B882" s="11" t="n">
        <x:v>666</x:v>
      </x:c>
      <x:c r="C882" s="15" t="e">
        <x:f>HYPERLINK("https://pokecottage.com/pokemon-master-sets/vivillon","Vivillon (Elegant Pattern)")</x:f>
        <x:v>HYPERLINK is not implemented. linkLocation=https://pokecottage.com/pokemon-master-sets/vivillon, friendlyName=Vivillon (Elegant Pattern)</x:v>
      </x:c>
      <x:c r="D882" s="7" t="str">
        <x:v>Other Form</x:v>
      </x:c>
      <x:c r="E882" s="7"/>
      <x:c r="F882" s="7"/>
    </x:row>
    <x:row r="883" ht="25" customHeight="1">
      <x:c r="A883" s="14" t="str">
        <x:v>☐</x:v>
      </x:c>
      <x:c r="B883" s="12" t="n">
        <x:v>666</x:v>
      </x:c>
      <x:c r="C883" s="16" t="e">
        <x:f>HYPERLINK("https://pokecottage.com/pokemon-master-sets/vivillon","Vivillon (Meadow Pattern)")</x:f>
        <x:v>HYPERLINK is not implemented. linkLocation=https://pokecottage.com/pokemon-master-sets/vivillon, friendlyName=Vivillon (Meadow Pattern)</x:v>
      </x:c>
      <x:c r="D883" s="8" t="str">
        <x:v>Other Form</x:v>
      </x:c>
      <x:c r="E883" s="8"/>
      <x:c r="F883" s="8"/>
    </x:row>
    <x:row r="884" ht="25" customHeight="1">
      <x:c r="A884" s="13" t="str">
        <x:v>☐</x:v>
      </x:c>
      <x:c r="B884" s="11" t="n">
        <x:v>666</x:v>
      </x:c>
      <x:c r="C884" s="15" t="e">
        <x:f>HYPERLINK("https://pokecottage.com/pokemon-master-sets/vivillon","Vivillon (Modern Pattern)")</x:f>
        <x:v>HYPERLINK is not implemented. linkLocation=https://pokecottage.com/pokemon-master-sets/vivillon, friendlyName=Vivillon (Modern Pattern)</x:v>
      </x:c>
      <x:c r="D884" s="7" t="str">
        <x:v>Other Form</x:v>
      </x:c>
      <x:c r="E884" s="7"/>
      <x:c r="F884" s="7"/>
    </x:row>
    <x:row r="885" ht="25" customHeight="1">
      <x:c r="A885" s="14" t="str">
        <x:v>☐</x:v>
      </x:c>
      <x:c r="B885" s="12" t="n">
        <x:v>666</x:v>
      </x:c>
      <x:c r="C885" s="16" t="e">
        <x:f>HYPERLINK("https://pokecottage.com/pokemon-master-sets/vivillon","Vivillon (Marine Pattern)")</x:f>
        <x:v>HYPERLINK is not implemented. linkLocation=https://pokecottage.com/pokemon-master-sets/vivillon, friendlyName=Vivillon (Marine Pattern)</x:v>
      </x:c>
      <x:c r="D885" s="8" t="str">
        <x:v>Other Form</x:v>
      </x:c>
      <x:c r="E885" s="8"/>
      <x:c r="F885" s="8"/>
    </x:row>
    <x:row r="886" ht="25" customHeight="1">
      <x:c r="A886" s="13" t="str">
        <x:v>☐</x:v>
      </x:c>
      <x:c r="B886" s="11" t="n">
        <x:v>666</x:v>
      </x:c>
      <x:c r="C886" s="15" t="e">
        <x:f>HYPERLINK("https://pokecottage.com/pokemon-master-sets/vivillon","Vivillon (Archipelago Pattern)")</x:f>
        <x:v>HYPERLINK is not implemented. linkLocation=https://pokecottage.com/pokemon-master-sets/vivillon, friendlyName=Vivillon (Archipelago Pattern)</x:v>
      </x:c>
      <x:c r="D886" s="7" t="str">
        <x:v>Other Form</x:v>
      </x:c>
      <x:c r="E886" s="7"/>
      <x:c r="F886" s="7"/>
    </x:row>
    <x:row r="887" ht="25" customHeight="1">
      <x:c r="A887" s="14" t="str">
        <x:v>☐</x:v>
      </x:c>
      <x:c r="B887" s="12" t="n">
        <x:v>666</x:v>
      </x:c>
      <x:c r="C887" s="16" t="e">
        <x:f>HYPERLINK("https://pokecottage.com/pokemon-master-sets/vivillon","Vivillon (High Plains Pattern)")</x:f>
        <x:v>HYPERLINK is not implemented. linkLocation=https://pokecottage.com/pokemon-master-sets/vivillon, friendlyName=Vivillon (High Plains Pattern)</x:v>
      </x:c>
      <x:c r="D887" s="8" t="str">
        <x:v>Other Form</x:v>
      </x:c>
      <x:c r="E887" s="8"/>
      <x:c r="F887" s="8"/>
    </x:row>
    <x:row r="888" ht="25" customHeight="1">
      <x:c r="A888" s="13" t="str">
        <x:v>☐</x:v>
      </x:c>
      <x:c r="B888" s="11" t="n">
        <x:v>666</x:v>
      </x:c>
      <x:c r="C888" s="15" t="e">
        <x:f>HYPERLINK("https://pokecottage.com/pokemon-master-sets/vivillon","Vivillon (Sandstorm Pattern)")</x:f>
        <x:v>HYPERLINK is not implemented. linkLocation=https://pokecottage.com/pokemon-master-sets/vivillon, friendlyName=Vivillon (Sandstorm Pattern)</x:v>
      </x:c>
      <x:c r="D888" s="7" t="str">
        <x:v>Other Form</x:v>
      </x:c>
      <x:c r="E888" s="7"/>
      <x:c r="F888" s="7"/>
    </x:row>
    <x:row r="889" ht="25" customHeight="1">
      <x:c r="A889" s="14" t="str">
        <x:v>☐</x:v>
      </x:c>
      <x:c r="B889" s="12" t="n">
        <x:v>666</x:v>
      </x:c>
      <x:c r="C889" s="16" t="e">
        <x:f>HYPERLINK("https://pokecottage.com/pokemon-master-sets/vivillon","Vivillon (River Pattern)")</x:f>
        <x:v>HYPERLINK is not implemented. linkLocation=https://pokecottage.com/pokemon-master-sets/vivillon, friendlyName=Vivillon (River Pattern)</x:v>
      </x:c>
      <x:c r="D889" s="8" t="str">
        <x:v>Other Form</x:v>
      </x:c>
      <x:c r="E889" s="8"/>
      <x:c r="F889" s="8"/>
    </x:row>
    <x:row r="890" ht="25" customHeight="1">
      <x:c r="A890" s="13" t="str">
        <x:v>☐</x:v>
      </x:c>
      <x:c r="B890" s="11" t="n">
        <x:v>666</x:v>
      </x:c>
      <x:c r="C890" s="15" t="e">
        <x:f>HYPERLINK("https://pokecottage.com/pokemon-master-sets/vivillon","Vivillon (Monsoon Pattern)")</x:f>
        <x:v>HYPERLINK is not implemented. linkLocation=https://pokecottage.com/pokemon-master-sets/vivillon, friendlyName=Vivillon (Monsoon Pattern)</x:v>
      </x:c>
      <x:c r="D890" s="7" t="str">
        <x:v>Other Form</x:v>
      </x:c>
      <x:c r="E890" s="7"/>
      <x:c r="F890" s="7"/>
    </x:row>
    <x:row r="891" ht="25" customHeight="1">
      <x:c r="A891" s="14" t="str">
        <x:v>☐</x:v>
      </x:c>
      <x:c r="B891" s="12" t="n">
        <x:v>666</x:v>
      </x:c>
      <x:c r="C891" s="16" t="e">
        <x:f>HYPERLINK("https://pokecottage.com/pokemon-master-sets/vivillon","Vivillon (Savanna Pattern)")</x:f>
        <x:v>HYPERLINK is not implemented. linkLocation=https://pokecottage.com/pokemon-master-sets/vivillon, friendlyName=Vivillon (Savanna Pattern)</x:v>
      </x:c>
      <x:c r="D891" s="8" t="str">
        <x:v>Other Form</x:v>
      </x:c>
      <x:c r="E891" s="8"/>
      <x:c r="F891" s="8"/>
    </x:row>
    <x:row r="892" ht="25" customHeight="1">
      <x:c r="A892" s="13" t="str">
        <x:v>☐</x:v>
      </x:c>
      <x:c r="B892" s="11" t="n">
        <x:v>666</x:v>
      </x:c>
      <x:c r="C892" s="15" t="e">
        <x:f>HYPERLINK("https://pokecottage.com/pokemon-master-sets/vivillon","Vivillon (Sun Pattern)")</x:f>
        <x:v>HYPERLINK is not implemented. linkLocation=https://pokecottage.com/pokemon-master-sets/vivillon, friendlyName=Vivillon (Sun Pattern)</x:v>
      </x:c>
      <x:c r="D892" s="7" t="str">
        <x:v>Other Form</x:v>
      </x:c>
      <x:c r="E892" s="7"/>
      <x:c r="F892" s="7"/>
    </x:row>
    <x:row r="893" ht="25" customHeight="1">
      <x:c r="A893" s="14" t="str">
        <x:v>☐</x:v>
      </x:c>
      <x:c r="B893" s="12" t="n">
        <x:v>666</x:v>
      </x:c>
      <x:c r="C893" s="16" t="e">
        <x:f>HYPERLINK("https://pokecottage.com/pokemon-master-sets/vivillon","Vivillon (Ocean Pattern)")</x:f>
        <x:v>HYPERLINK is not implemented. linkLocation=https://pokecottage.com/pokemon-master-sets/vivillon, friendlyName=Vivillon (Ocean Pattern)</x:v>
      </x:c>
      <x:c r="D893" s="8" t="str">
        <x:v>Other Form</x:v>
      </x:c>
      <x:c r="E893" s="8"/>
      <x:c r="F893" s="8"/>
    </x:row>
    <x:row r="894" ht="25" customHeight="1">
      <x:c r="A894" s="13" t="str">
        <x:v>☐</x:v>
      </x:c>
      <x:c r="B894" s="11" t="n">
        <x:v>666</x:v>
      </x:c>
      <x:c r="C894" s="15" t="e">
        <x:f>HYPERLINK("https://pokecottage.com/pokemon-master-sets/vivillon","Vivillon (Jungle Pattern)")</x:f>
        <x:v>HYPERLINK is not implemented. linkLocation=https://pokecottage.com/pokemon-master-sets/vivillon, friendlyName=Vivillon (Jungle Pattern)</x:v>
      </x:c>
      <x:c r="D894" s="7" t="str">
        <x:v>Other Form</x:v>
      </x:c>
      <x:c r="E894" s="7"/>
      <x:c r="F894" s="7"/>
    </x:row>
    <x:row r="895" ht="25" customHeight="1">
      <x:c r="A895" s="14" t="str">
        <x:v>☐</x:v>
      </x:c>
      <x:c r="B895" s="12" t="n">
        <x:v>666</x:v>
      </x:c>
      <x:c r="C895" s="16" t="e">
        <x:f>HYPERLINK("https://pokecottage.com/pokemon-master-sets/vivillon","Vivillon (Fancy Pattern)")</x:f>
        <x:v>HYPERLINK is not implemented. linkLocation=https://pokecottage.com/pokemon-master-sets/vivillon, friendlyName=Vivillon (Fancy Pattern)</x:v>
      </x:c>
      <x:c r="D895" s="8" t="str">
        <x:v>Other Form</x:v>
      </x:c>
      <x:c r="E895" s="8"/>
      <x:c r="F895" s="8"/>
    </x:row>
    <x:row r="896" ht="25" customHeight="1">
      <x:c r="A896" s="13" t="str">
        <x:v>☐</x:v>
      </x:c>
      <x:c r="B896" s="11" t="n">
        <x:v>666</x:v>
      </x:c>
      <x:c r="C896" s="15" t="e">
        <x:f>HYPERLINK("https://pokecottage.com/pokemon-master-sets/vivillon","Vivillon (Poke Ball Pattern)")</x:f>
        <x:v>HYPERLINK is not implemented. linkLocation=https://pokecottage.com/pokemon-master-sets/vivillon, friendlyName=Vivillon (Poke Ball Pattern)</x:v>
      </x:c>
      <x:c r="D896" s="7" t="str">
        <x:v>Other Form</x:v>
      </x:c>
      <x:c r="E896" s="7"/>
      <x:c r="F896" s="7"/>
    </x:row>
    <x:row r="897" ht="25" customHeight="1">
      <x:c r="A897" s="14" t="str">
        <x:v>☐</x:v>
      </x:c>
      <x:c r="B897" s="12" t="n">
        <x:v>667</x:v>
      </x:c>
      <x:c r="C897" s="16" t="e">
        <x:f>HYPERLINK("https://pokecottage.com/pokemon-master-sets/litleo","Litleo")</x:f>
        <x:v>HYPERLINK is not implemented. linkLocation=https://pokecottage.com/pokemon-master-sets/litleo, friendlyName=Litleo</x:v>
      </x:c>
      <x:c r="D897" s="8" t="str">
        <x:v>Gen 6 • Kalos</x:v>
      </x:c>
      <x:c r="E897" s="8"/>
      <x:c r="F897" s="8"/>
    </x:row>
    <x:row r="898" ht="25" customHeight="1">
      <x:c r="A898" s="13" t="str">
        <x:v>☐</x:v>
      </x:c>
      <x:c r="B898" s="11" t="n">
        <x:v>668</x:v>
      </x:c>
      <x:c r="C898" s="15" t="e">
        <x:f>HYPERLINK("https://pokecottage.com/pokemon-master-sets/pyroar","Pyroar")</x:f>
        <x:v>HYPERLINK is not implemented. linkLocation=https://pokecottage.com/pokemon-master-sets/pyroar, friendlyName=Pyroar</x:v>
      </x:c>
      <x:c r="D898" s="7" t="str">
        <x:v>Gen 6 • Kalos</x:v>
      </x:c>
      <x:c r="E898" s="7"/>
      <x:c r="F898" s="7"/>
    </x:row>
    <x:row r="899" ht="25" customHeight="1">
      <x:c r="A899" s="14" t="str">
        <x:v>☐</x:v>
      </x:c>
      <x:c r="B899" s="12" t="n">
        <x:v>668</x:v>
      </x:c>
      <x:c r="C899" s="16" t="e">
        <x:f>HYPERLINK("https://pokecottage.com/pokemon-master-sets/pyroar","Mega Pyroar")</x:f>
        <x:v>HYPERLINK is not implemented. linkLocation=https://pokecottage.com/pokemon-master-sets/pyroar, friendlyName=Mega Pyroar</x:v>
      </x:c>
      <x:c r="D899" s="8" t="str">
        <x:v>Mega Evolution</x:v>
      </x:c>
      <x:c r="E899" s="8"/>
      <x:c r="F899" s="8"/>
    </x:row>
    <x:row r="900" ht="25" customHeight="1">
      <x:c r="A900" s="13" t="str">
        <x:v>☐</x:v>
      </x:c>
      <x:c r="B900" s="11" t="n">
        <x:v>669</x:v>
      </x:c>
      <x:c r="C900" s="15" t="e">
        <x:f>HYPERLINK("https://pokecottage.com/pokemon-master-sets/flab-b","Flabebe (Red Flower)")</x:f>
        <x:v>HYPERLINK is not implemented. linkLocation=https://pokecottage.com/pokemon-master-sets/flab-b, friendlyName=Flabebe (Red Flower)</x:v>
      </x:c>
      <x:c r="D900" s="7" t="str">
        <x:v>Other Form</x:v>
      </x:c>
      <x:c r="E900" s="7"/>
      <x:c r="F900" s="7"/>
    </x:row>
    <x:row r="901" ht="25" customHeight="1">
      <x:c r="A901" s="14" t="str">
        <x:v>☐</x:v>
      </x:c>
      <x:c r="B901" s="12" t="n">
        <x:v>669</x:v>
      </x:c>
      <x:c r="C901" s="16" t="e">
        <x:f>HYPERLINK("https://pokecottage.com/pokemon-master-sets/flab-b","Flabebe (Yellow Flower)")</x:f>
        <x:v>HYPERLINK is not implemented. linkLocation=https://pokecottage.com/pokemon-master-sets/flab-b, friendlyName=Flabebe (Yellow Flower)</x:v>
      </x:c>
      <x:c r="D901" s="8" t="str">
        <x:v>Other Form</x:v>
      </x:c>
      <x:c r="E901" s="8"/>
      <x:c r="F901" s="8"/>
    </x:row>
    <x:row r="902" ht="25" customHeight="1">
      <x:c r="A902" s="13" t="str">
        <x:v>☐</x:v>
      </x:c>
      <x:c r="B902" s="11" t="n">
        <x:v>669</x:v>
      </x:c>
      <x:c r="C902" s="15" t="e">
        <x:f>HYPERLINK("https://pokecottage.com/pokemon-master-sets/flab-b","Flabebe (Orange Flower)")</x:f>
        <x:v>HYPERLINK is not implemented. linkLocation=https://pokecottage.com/pokemon-master-sets/flab-b, friendlyName=Flabebe (Orange Flower)</x:v>
      </x:c>
      <x:c r="D902" s="7" t="str">
        <x:v>Other Form</x:v>
      </x:c>
      <x:c r="E902" s="7"/>
      <x:c r="F902" s="7"/>
    </x:row>
    <x:row r="903" ht="25" customHeight="1">
      <x:c r="A903" s="14" t="str">
        <x:v>☐</x:v>
      </x:c>
      <x:c r="B903" s="12" t="n">
        <x:v>669</x:v>
      </x:c>
      <x:c r="C903" s="16" t="e">
        <x:f>HYPERLINK("https://pokecottage.com/pokemon-master-sets/flab-b","Flabebe (Blue Flower)")</x:f>
        <x:v>HYPERLINK is not implemented. linkLocation=https://pokecottage.com/pokemon-master-sets/flab-b, friendlyName=Flabebe (Blue Flower)</x:v>
      </x:c>
      <x:c r="D903" s="8" t="str">
        <x:v>Other Form</x:v>
      </x:c>
      <x:c r="E903" s="8"/>
      <x:c r="F903" s="8"/>
    </x:row>
    <x:row r="904" ht="25" customHeight="1">
      <x:c r="A904" s="13" t="str">
        <x:v>☐</x:v>
      </x:c>
      <x:c r="B904" s="11" t="n">
        <x:v>669</x:v>
      </x:c>
      <x:c r="C904" s="15" t="e">
        <x:f>HYPERLINK("https://pokecottage.com/pokemon-master-sets/flab-b","Flabebe (White Flower)")</x:f>
        <x:v>HYPERLINK is not implemented. linkLocation=https://pokecottage.com/pokemon-master-sets/flab-b, friendlyName=Flabebe (White Flower)</x:v>
      </x:c>
      <x:c r="D904" s="7" t="str">
        <x:v>Other Form</x:v>
      </x:c>
      <x:c r="E904" s="7"/>
      <x:c r="F904" s="7"/>
    </x:row>
    <x:row r="905" ht="25" customHeight="1">
      <x:c r="A905" s="14" t="str">
        <x:v>☐</x:v>
      </x:c>
      <x:c r="B905" s="12" t="n">
        <x:v>670</x:v>
      </x:c>
      <x:c r="C905" s="16" t="e">
        <x:f>HYPERLINK("https://pokecottage.com/pokemon-master-sets/floette","Floette (Red Flower)")</x:f>
        <x:v>HYPERLINK is not implemented. linkLocation=https://pokecottage.com/pokemon-master-sets/floette, friendlyName=Floette (Red Flower)</x:v>
      </x:c>
      <x:c r="D905" s="8" t="str">
        <x:v>Other Form</x:v>
      </x:c>
      <x:c r="E905" s="8"/>
      <x:c r="F905" s="8"/>
    </x:row>
    <x:row r="906" ht="25" customHeight="1">
      <x:c r="A906" s="13" t="str">
        <x:v>☐</x:v>
      </x:c>
      <x:c r="B906" s="11" t="n">
        <x:v>670</x:v>
      </x:c>
      <x:c r="C906" s="15" t="e">
        <x:f>HYPERLINK("https://pokecottage.com/pokemon-master-sets/floette","Floette (Yellow Flower)")</x:f>
        <x:v>HYPERLINK is not implemented. linkLocation=https://pokecottage.com/pokemon-master-sets/floette, friendlyName=Floette (Yellow Flower)</x:v>
      </x:c>
      <x:c r="D906" s="7" t="str">
        <x:v>Other Form</x:v>
      </x:c>
      <x:c r="E906" s="7"/>
      <x:c r="F906" s="7"/>
    </x:row>
    <x:row r="907" ht="25" customHeight="1">
      <x:c r="A907" s="14" t="str">
        <x:v>☐</x:v>
      </x:c>
      <x:c r="B907" s="12" t="n">
        <x:v>670</x:v>
      </x:c>
      <x:c r="C907" s="16" t="e">
        <x:f>HYPERLINK("https://pokecottage.com/pokemon-master-sets/floette","Floette (Orange Flower)")</x:f>
        <x:v>HYPERLINK is not implemented. linkLocation=https://pokecottage.com/pokemon-master-sets/floette, friendlyName=Floette (Orange Flower)</x:v>
      </x:c>
      <x:c r="D907" s="8" t="str">
        <x:v>Other Form</x:v>
      </x:c>
      <x:c r="E907" s="8"/>
      <x:c r="F907" s="8"/>
    </x:row>
    <x:row r="908" ht="25" customHeight="1">
      <x:c r="A908" s="13" t="str">
        <x:v>☐</x:v>
      </x:c>
      <x:c r="B908" s="11" t="n">
        <x:v>670</x:v>
      </x:c>
      <x:c r="C908" s="15" t="e">
        <x:f>HYPERLINK("https://pokecottage.com/pokemon-master-sets/floette","Floette (Blue Flower)")</x:f>
        <x:v>HYPERLINK is not implemented. linkLocation=https://pokecottage.com/pokemon-master-sets/floette, friendlyName=Floette (Blue Flower)</x:v>
      </x:c>
      <x:c r="D908" s="7" t="str">
        <x:v>Other Form</x:v>
      </x:c>
      <x:c r="E908" s="7"/>
      <x:c r="F908" s="7"/>
    </x:row>
    <x:row r="909" ht="25" customHeight="1">
      <x:c r="A909" s="14" t="str">
        <x:v>☐</x:v>
      </x:c>
      <x:c r="B909" s="12" t="n">
        <x:v>670</x:v>
      </x:c>
      <x:c r="C909" s="16" t="e">
        <x:f>HYPERLINK("https://pokecottage.com/pokemon-master-sets/floette","Floette (White Flower)")</x:f>
        <x:v>HYPERLINK is not implemented. linkLocation=https://pokecottage.com/pokemon-master-sets/floette, friendlyName=Floette (White Flower)</x:v>
      </x:c>
      <x:c r="D909" s="8" t="str">
        <x:v>Other Form</x:v>
      </x:c>
      <x:c r="E909" s="8"/>
      <x:c r="F909" s="8"/>
    </x:row>
    <x:row r="910" ht="25" customHeight="1">
      <x:c r="A910" s="13" t="str">
        <x:v>☐</x:v>
      </x:c>
      <x:c r="B910" s="11" t="n">
        <x:v>670</x:v>
      </x:c>
      <x:c r="C910" s="15" t="e">
        <x:f>HYPERLINK("https://pokecottage.com/pokemon-master-sets/floette","Eternal Flower Floette")</x:f>
        <x:v>HYPERLINK is not implemented. linkLocation=https://pokecottage.com/pokemon-master-sets/floette, friendlyName=Eternal Flower Floette</x:v>
      </x:c>
      <x:c r="D910" s="7" t="str">
        <x:v>Other Form</x:v>
      </x:c>
      <x:c r="E910" s="7"/>
      <x:c r="F910" s="7"/>
    </x:row>
    <x:row r="911" ht="25" customHeight="1">
      <x:c r="A911" s="14" t="str">
        <x:v>☐</x:v>
      </x:c>
      <x:c r="B911" s="12" t="n">
        <x:v>670</x:v>
      </x:c>
      <x:c r="C911" s="16" t="e">
        <x:f>HYPERLINK("https://pokecottage.com/pokemon-master-sets/floette","Mega Eternal Flower Floette")</x:f>
        <x:v>HYPERLINK is not implemented. linkLocation=https://pokecottage.com/pokemon-master-sets/floette, friendlyName=Mega Eternal Flower Floette</x:v>
      </x:c>
      <x:c r="D911" s="8" t="str">
        <x:v>Mega Evolution</x:v>
      </x:c>
      <x:c r="E911" s="8"/>
      <x:c r="F911" s="8"/>
    </x:row>
    <x:row r="912" ht="25" customHeight="1">
      <x:c r="A912" s="13" t="str">
        <x:v>☐</x:v>
      </x:c>
      <x:c r="B912" s="11" t="n">
        <x:v>671</x:v>
      </x:c>
      <x:c r="C912" s="15" t="e">
        <x:f>HYPERLINK("https://pokecottage.com/pokemon-master-sets/florges","Florges (Red Flower)")</x:f>
        <x:v>HYPERLINK is not implemented. linkLocation=https://pokecottage.com/pokemon-master-sets/florges, friendlyName=Florges (Red Flower)</x:v>
      </x:c>
      <x:c r="D912" s="7" t="str">
        <x:v>Other Form</x:v>
      </x:c>
      <x:c r="E912" s="7"/>
      <x:c r="F912" s="7"/>
    </x:row>
    <x:row r="913" ht="25" customHeight="1">
      <x:c r="A913" s="14" t="str">
        <x:v>☐</x:v>
      </x:c>
      <x:c r="B913" s="12" t="n">
        <x:v>671</x:v>
      </x:c>
      <x:c r="C913" s="16" t="e">
        <x:f>HYPERLINK("https://pokecottage.com/pokemon-master-sets/florges","Florges (Yellow Flower)")</x:f>
        <x:v>HYPERLINK is not implemented. linkLocation=https://pokecottage.com/pokemon-master-sets/florges, friendlyName=Florges (Yellow Flower)</x:v>
      </x:c>
      <x:c r="D913" s="8" t="str">
        <x:v>Other Form</x:v>
      </x:c>
      <x:c r="E913" s="8"/>
      <x:c r="F913" s="8"/>
    </x:row>
    <x:row r="914" ht="25" customHeight="1">
      <x:c r="A914" s="13" t="str">
        <x:v>☐</x:v>
      </x:c>
      <x:c r="B914" s="11" t="n">
        <x:v>671</x:v>
      </x:c>
      <x:c r="C914" s="15" t="e">
        <x:f>HYPERLINK("https://pokecottage.com/pokemon-master-sets/florges","Florges (Orange Flower)")</x:f>
        <x:v>HYPERLINK is not implemented. linkLocation=https://pokecottage.com/pokemon-master-sets/florges, friendlyName=Florges (Orange Flower)</x:v>
      </x:c>
      <x:c r="D914" s="7" t="str">
        <x:v>Other Form</x:v>
      </x:c>
      <x:c r="E914" s="7"/>
      <x:c r="F914" s="7"/>
    </x:row>
    <x:row r="915" ht="25" customHeight="1">
      <x:c r="A915" s="14" t="str">
        <x:v>☐</x:v>
      </x:c>
      <x:c r="B915" s="12" t="n">
        <x:v>671</x:v>
      </x:c>
      <x:c r="C915" s="16" t="e">
        <x:f>HYPERLINK("https://pokecottage.com/pokemon-master-sets/florges","Florges (Blue Flower)")</x:f>
        <x:v>HYPERLINK is not implemented. linkLocation=https://pokecottage.com/pokemon-master-sets/florges, friendlyName=Florges (Blue Flower)</x:v>
      </x:c>
      <x:c r="D915" s="8" t="str">
        <x:v>Other Form</x:v>
      </x:c>
      <x:c r="E915" s="8"/>
      <x:c r="F915" s="8"/>
    </x:row>
    <x:row r="916" ht="25" customHeight="1">
      <x:c r="A916" s="13" t="str">
        <x:v>☐</x:v>
      </x:c>
      <x:c r="B916" s="11" t="n">
        <x:v>671</x:v>
      </x:c>
      <x:c r="C916" s="15" t="e">
        <x:f>HYPERLINK("https://pokecottage.com/pokemon-master-sets/florges","Florges (White Flower)")</x:f>
        <x:v>HYPERLINK is not implemented. linkLocation=https://pokecottage.com/pokemon-master-sets/florges, friendlyName=Florges (White Flower)</x:v>
      </x:c>
      <x:c r="D916" s="7" t="str">
        <x:v>Other Form</x:v>
      </x:c>
      <x:c r="E916" s="7"/>
      <x:c r="F916" s="7"/>
    </x:row>
    <x:row r="917" ht="25" customHeight="1">
      <x:c r="A917" s="14" t="str">
        <x:v>☐</x:v>
      </x:c>
      <x:c r="B917" s="12" t="n">
        <x:v>672</x:v>
      </x:c>
      <x:c r="C917" s="16" t="e">
        <x:f>HYPERLINK("https://pokecottage.com/pokemon-master-sets/skiddo","Skiddo")</x:f>
        <x:v>HYPERLINK is not implemented. linkLocation=https://pokecottage.com/pokemon-master-sets/skiddo, friendlyName=Skiddo</x:v>
      </x:c>
      <x:c r="D917" s="8" t="str">
        <x:v>Gen 6 • Kalos</x:v>
      </x:c>
      <x:c r="E917" s="8"/>
      <x:c r="F917" s="8"/>
    </x:row>
    <x:row r="918" ht="25" customHeight="1">
      <x:c r="A918" s="13" t="str">
        <x:v>☐</x:v>
      </x:c>
      <x:c r="B918" s="11" t="n">
        <x:v>673</x:v>
      </x:c>
      <x:c r="C918" s="15" t="e">
        <x:f>HYPERLINK("https://pokecottage.com/pokemon-master-sets/gogoat","Gogoat")</x:f>
        <x:v>HYPERLINK is not implemented. linkLocation=https://pokecottage.com/pokemon-master-sets/gogoat, friendlyName=Gogoat</x:v>
      </x:c>
      <x:c r="D918" s="7" t="str">
        <x:v>Gen 6 • Kalos</x:v>
      </x:c>
      <x:c r="E918" s="7"/>
      <x:c r="F918" s="7"/>
    </x:row>
    <x:row r="919" ht="25" customHeight="1">
      <x:c r="A919" s="14" t="str">
        <x:v>☐</x:v>
      </x:c>
      <x:c r="B919" s="12" t="n">
        <x:v>674</x:v>
      </x:c>
      <x:c r="C919" s="16" t="e">
        <x:f>HYPERLINK("https://pokecottage.com/pokemon-master-sets/pancham","Pancham")</x:f>
        <x:v>HYPERLINK is not implemented. linkLocation=https://pokecottage.com/pokemon-master-sets/pancham, friendlyName=Pancham</x:v>
      </x:c>
      <x:c r="D919" s="8" t="str">
        <x:v>Gen 6 • Kalos</x:v>
      </x:c>
      <x:c r="E919" s="8"/>
      <x:c r="F919" s="8"/>
    </x:row>
    <x:row r="920" ht="25" customHeight="1">
      <x:c r="A920" s="13" t="str">
        <x:v>☐</x:v>
      </x:c>
      <x:c r="B920" s="11" t="n">
        <x:v>675</x:v>
      </x:c>
      <x:c r="C920" s="15" t="e">
        <x:f>HYPERLINK("https://pokecottage.com/pokemon-master-sets/pangoro","Pangoro")</x:f>
        <x:v>HYPERLINK is not implemented. linkLocation=https://pokecottage.com/pokemon-master-sets/pangoro, friendlyName=Pangoro</x:v>
      </x:c>
      <x:c r="D920" s="7" t="str">
        <x:v>Gen 6 • Kalos</x:v>
      </x:c>
      <x:c r="E920" s="7"/>
      <x:c r="F920" s="7"/>
    </x:row>
    <x:row r="921" ht="25" customHeight="1">
      <x:c r="A921" s="14" t="str">
        <x:v>☐</x:v>
      </x:c>
      <x:c r="B921" s="12" t="n">
        <x:v>676</x:v>
      </x:c>
      <x:c r="C921" s="16" t="e">
        <x:f>HYPERLINK("https://pokecottage.com/pokemon-master-sets/furfrou","Furfrou (Natural Form)")</x:f>
        <x:v>HYPERLINK is not implemented. linkLocation=https://pokecottage.com/pokemon-master-sets/furfrou, friendlyName=Furfrou (Natural Form)</x:v>
      </x:c>
      <x:c r="D921" s="8" t="str">
        <x:v>Other Form</x:v>
      </x:c>
      <x:c r="E921" s="8"/>
      <x:c r="F921" s="8"/>
    </x:row>
    <x:row r="922" ht="25" customHeight="1">
      <x:c r="A922" s="13" t="str">
        <x:v>☐</x:v>
      </x:c>
      <x:c r="B922" s="11" t="n">
        <x:v>676</x:v>
      </x:c>
      <x:c r="C922" s="15" t="e">
        <x:f>HYPERLINK("https://pokecottage.com/pokemon-master-sets/furfrou","Furfrou (Heart Trim)")</x:f>
        <x:v>HYPERLINK is not implemented. linkLocation=https://pokecottage.com/pokemon-master-sets/furfrou, friendlyName=Furfrou (Heart Trim)</x:v>
      </x:c>
      <x:c r="D922" s="7" t="str">
        <x:v>Other Form</x:v>
      </x:c>
      <x:c r="E922" s="7"/>
      <x:c r="F922" s="7"/>
    </x:row>
    <x:row r="923" ht="25" customHeight="1">
      <x:c r="A923" s="14" t="str">
        <x:v>☐</x:v>
      </x:c>
      <x:c r="B923" s="12" t="n">
        <x:v>676</x:v>
      </x:c>
      <x:c r="C923" s="16" t="e">
        <x:f>HYPERLINK("https://pokecottage.com/pokemon-master-sets/furfrou","Furfrou (Star Trim)")</x:f>
        <x:v>HYPERLINK is not implemented. linkLocation=https://pokecottage.com/pokemon-master-sets/furfrou, friendlyName=Furfrou (Star Trim)</x:v>
      </x:c>
      <x:c r="D923" s="8" t="str">
        <x:v>Other Form</x:v>
      </x:c>
      <x:c r="E923" s="8"/>
      <x:c r="F923" s="8"/>
    </x:row>
    <x:row r="924" ht="25" customHeight="1">
      <x:c r="A924" s="13" t="str">
        <x:v>☐</x:v>
      </x:c>
      <x:c r="B924" s="11" t="n">
        <x:v>676</x:v>
      </x:c>
      <x:c r="C924" s="15" t="e">
        <x:f>HYPERLINK("https://pokecottage.com/pokemon-master-sets/furfrou","Furfrou (Diamond Trim)")</x:f>
        <x:v>HYPERLINK is not implemented. linkLocation=https://pokecottage.com/pokemon-master-sets/furfrou, friendlyName=Furfrou (Diamond Trim)</x:v>
      </x:c>
      <x:c r="D924" s="7" t="str">
        <x:v>Other Form</x:v>
      </x:c>
      <x:c r="E924" s="7"/>
      <x:c r="F924" s="7"/>
    </x:row>
    <x:row r="925" ht="25" customHeight="1">
      <x:c r="A925" s="14" t="str">
        <x:v>☐</x:v>
      </x:c>
      <x:c r="B925" s="12" t="n">
        <x:v>676</x:v>
      </x:c>
      <x:c r="C925" s="16" t="e">
        <x:f>HYPERLINK("https://pokecottage.com/pokemon-master-sets/furfrou","Furfrou (Debutante Trim)")</x:f>
        <x:v>HYPERLINK is not implemented. linkLocation=https://pokecottage.com/pokemon-master-sets/furfrou, friendlyName=Furfrou (Debutante Trim)</x:v>
      </x:c>
      <x:c r="D925" s="8" t="str">
        <x:v>Other Form</x:v>
      </x:c>
      <x:c r="E925" s="8"/>
      <x:c r="F925" s="8"/>
    </x:row>
    <x:row r="926" ht="25" customHeight="1">
      <x:c r="A926" s="13" t="str">
        <x:v>☐</x:v>
      </x:c>
      <x:c r="B926" s="11" t="n">
        <x:v>676</x:v>
      </x:c>
      <x:c r="C926" s="15" t="e">
        <x:f>HYPERLINK("https://pokecottage.com/pokemon-master-sets/furfrou","Furfrou (Matron Trim)")</x:f>
        <x:v>HYPERLINK is not implemented. linkLocation=https://pokecottage.com/pokemon-master-sets/furfrou, friendlyName=Furfrou (Matron Trim)</x:v>
      </x:c>
      <x:c r="D926" s="7" t="str">
        <x:v>Other Form</x:v>
      </x:c>
      <x:c r="E926" s="7"/>
      <x:c r="F926" s="7"/>
    </x:row>
    <x:row r="927" ht="25" customHeight="1">
      <x:c r="A927" s="14" t="str">
        <x:v>☐</x:v>
      </x:c>
      <x:c r="B927" s="12" t="n">
        <x:v>676</x:v>
      </x:c>
      <x:c r="C927" s="16" t="e">
        <x:f>HYPERLINK("https://pokecottage.com/pokemon-master-sets/furfrou","Furfrou (Dandy Trim)")</x:f>
        <x:v>HYPERLINK is not implemented. linkLocation=https://pokecottage.com/pokemon-master-sets/furfrou, friendlyName=Furfrou (Dandy Trim)</x:v>
      </x:c>
      <x:c r="D927" s="8" t="str">
        <x:v>Other Form</x:v>
      </x:c>
      <x:c r="E927" s="8"/>
      <x:c r="F927" s="8"/>
    </x:row>
    <x:row r="928" ht="25" customHeight="1">
      <x:c r="A928" s="13" t="str">
        <x:v>☐</x:v>
      </x:c>
      <x:c r="B928" s="11" t="n">
        <x:v>676</x:v>
      </x:c>
      <x:c r="C928" s="15" t="e">
        <x:f>HYPERLINK("https://pokecottage.com/pokemon-master-sets/furfrou","Furfrou (La Reine Trim)")</x:f>
        <x:v>HYPERLINK is not implemented. linkLocation=https://pokecottage.com/pokemon-master-sets/furfrou, friendlyName=Furfrou (La Reine Trim)</x:v>
      </x:c>
      <x:c r="D928" s="7" t="str">
        <x:v>Other Form</x:v>
      </x:c>
      <x:c r="E928" s="7"/>
      <x:c r="F928" s="7"/>
    </x:row>
    <x:row r="929" ht="25" customHeight="1">
      <x:c r="A929" s="14" t="str">
        <x:v>☐</x:v>
      </x:c>
      <x:c r="B929" s="12" t="n">
        <x:v>676</x:v>
      </x:c>
      <x:c r="C929" s="16" t="e">
        <x:f>HYPERLINK("https://pokecottage.com/pokemon-master-sets/furfrou","Furfrou (Kabuki Trim)")</x:f>
        <x:v>HYPERLINK is not implemented. linkLocation=https://pokecottage.com/pokemon-master-sets/furfrou, friendlyName=Furfrou (Kabuki Trim)</x:v>
      </x:c>
      <x:c r="D929" s="8" t="str">
        <x:v>Other Form</x:v>
      </x:c>
      <x:c r="E929" s="8"/>
      <x:c r="F929" s="8"/>
    </x:row>
    <x:row r="930" ht="25" customHeight="1">
      <x:c r="A930" s="13" t="str">
        <x:v>☐</x:v>
      </x:c>
      <x:c r="B930" s="11" t="n">
        <x:v>676</x:v>
      </x:c>
      <x:c r="C930" s="15" t="e">
        <x:f>HYPERLINK("https://pokecottage.com/pokemon-master-sets/furfrou","Furfrou (Pharaoh Trim)")</x:f>
        <x:v>HYPERLINK is not implemented. linkLocation=https://pokecottage.com/pokemon-master-sets/furfrou, friendlyName=Furfrou (Pharaoh Trim)</x:v>
      </x:c>
      <x:c r="D930" s="7" t="str">
        <x:v>Other Form</x:v>
      </x:c>
      <x:c r="E930" s="7"/>
      <x:c r="F930" s="7"/>
    </x:row>
    <x:row r="931" ht="25" customHeight="1">
      <x:c r="A931" s="14" t="str">
        <x:v>☐</x:v>
      </x:c>
      <x:c r="B931" s="12" t="n">
        <x:v>677</x:v>
      </x:c>
      <x:c r="C931" s="16" t="e">
        <x:f>HYPERLINK("https://pokecottage.com/pokemon-master-sets/espurr","Espurr")</x:f>
        <x:v>HYPERLINK is not implemented. linkLocation=https://pokecottage.com/pokemon-master-sets/espurr, friendlyName=Espurr</x:v>
      </x:c>
      <x:c r="D931" s="8" t="str">
        <x:v>Gen 6 • Kalos</x:v>
      </x:c>
      <x:c r="E931" s="8"/>
      <x:c r="F931" s="8"/>
    </x:row>
    <x:row r="932" ht="25" customHeight="1">
      <x:c r="A932" s="13" t="str">
        <x:v>☐</x:v>
      </x:c>
      <x:c r="B932" s="11" t="n">
        <x:v>678</x:v>
      </x:c>
      <x:c r="C932" s="15" t="e">
        <x:f>HYPERLINK("https://pokecottage.com/pokemon-master-sets/meowstic","Meowstic (Male)")</x:f>
        <x:v>HYPERLINK is not implemented. linkLocation=https://pokecottage.com/pokemon-master-sets/meowstic, friendlyName=Meowstic (Male)</x:v>
      </x:c>
      <x:c r="D932" s="7" t="str">
        <x:v>Other Form</x:v>
      </x:c>
      <x:c r="E932" s="7"/>
      <x:c r="F932" s="7"/>
    </x:row>
    <x:row r="933" ht="25" customHeight="1">
      <x:c r="A933" s="14" t="str">
        <x:v>☐</x:v>
      </x:c>
      <x:c r="B933" s="12" t="n">
        <x:v>678</x:v>
      </x:c>
      <x:c r="C933" s="16" t="e">
        <x:f>HYPERLINK("https://pokecottage.com/pokemon-master-sets/meowstic","Meowstic (Female)")</x:f>
        <x:v>HYPERLINK is not implemented. linkLocation=https://pokecottage.com/pokemon-master-sets/meowstic, friendlyName=Meowstic (Female)</x:v>
      </x:c>
      <x:c r="D933" s="8" t="str">
        <x:v>Other Form</x:v>
      </x:c>
      <x:c r="E933" s="8"/>
      <x:c r="F933" s="8"/>
    </x:row>
    <x:row r="934" ht="25" customHeight="1">
      <x:c r="A934" s="13" t="str">
        <x:v>☐</x:v>
      </x:c>
      <x:c r="B934" s="11" t="n">
        <x:v>678</x:v>
      </x:c>
      <x:c r="C934" s="15" t="e">
        <x:f>HYPERLINK("https://pokecottage.com/pokemon-master-sets/meowstic","Mega Meowstic")</x:f>
        <x:v>HYPERLINK is not implemented. linkLocation=https://pokecottage.com/pokemon-master-sets/meowstic, friendlyName=Mega Meowstic</x:v>
      </x:c>
      <x:c r="D934" s="7" t="str">
        <x:v>Mega Evolution</x:v>
      </x:c>
      <x:c r="E934" s="7"/>
      <x:c r="F934" s="7"/>
    </x:row>
    <x:row r="935" ht="25" customHeight="1">
      <x:c r="A935" s="14" t="str">
        <x:v>☐</x:v>
      </x:c>
      <x:c r="B935" s="12" t="n">
        <x:v>679</x:v>
      </x:c>
      <x:c r="C935" s="16" t="e">
        <x:f>HYPERLINK("https://pokecottage.com/pokemon-master-sets/honedge","Honedge")</x:f>
        <x:v>HYPERLINK is not implemented. linkLocation=https://pokecottage.com/pokemon-master-sets/honedge, friendlyName=Honedge</x:v>
      </x:c>
      <x:c r="D935" s="8" t="str">
        <x:v>Gen 6 • Kalos</x:v>
      </x:c>
      <x:c r="E935" s="8"/>
      <x:c r="F935" s="8"/>
    </x:row>
    <x:row r="936" ht="25" customHeight="1">
      <x:c r="A936" s="13" t="str">
        <x:v>☐</x:v>
      </x:c>
      <x:c r="B936" s="11" t="n">
        <x:v>680</x:v>
      </x:c>
      <x:c r="C936" s="15" t="e">
        <x:f>HYPERLINK("https://pokecottage.com/pokemon-master-sets/doublade","Doublade")</x:f>
        <x:v>HYPERLINK is not implemented. linkLocation=https://pokecottage.com/pokemon-master-sets/doublade, friendlyName=Doublade</x:v>
      </x:c>
      <x:c r="D936" s="7" t="str">
        <x:v>Gen 6 • Kalos</x:v>
      </x:c>
      <x:c r="E936" s="7"/>
      <x:c r="F936" s="7"/>
    </x:row>
    <x:row r="937" ht="25" customHeight="1">
      <x:c r="A937" s="14" t="str">
        <x:v>☐</x:v>
      </x:c>
      <x:c r="B937" s="12" t="n">
        <x:v>681</x:v>
      </x:c>
      <x:c r="C937" s="16" t="e">
        <x:f>HYPERLINK("https://pokecottage.com/pokemon-master-sets/aegislash","Aegislash (Shield Forme)")</x:f>
        <x:v>HYPERLINK is not implemented. linkLocation=https://pokecottage.com/pokemon-master-sets/aegislash, friendlyName=Aegislash (Shield Forme)</x:v>
      </x:c>
      <x:c r="D937" s="8" t="str">
        <x:v>Other Form</x:v>
      </x:c>
      <x:c r="E937" s="8"/>
      <x:c r="F937" s="8"/>
    </x:row>
    <x:row r="938" ht="25" customHeight="1">
      <x:c r="A938" s="13" t="str">
        <x:v>☐</x:v>
      </x:c>
      <x:c r="B938" s="11" t="n">
        <x:v>681</x:v>
      </x:c>
      <x:c r="C938" s="15" t="e">
        <x:f>HYPERLINK("https://pokecottage.com/pokemon-master-sets/aegislash","Aegislash (Blade Forme)")</x:f>
        <x:v>HYPERLINK is not implemented. linkLocation=https://pokecottage.com/pokemon-master-sets/aegislash, friendlyName=Aegislash (Blade Forme)</x:v>
      </x:c>
      <x:c r="D938" s="7" t="str">
        <x:v>Other Form</x:v>
      </x:c>
      <x:c r="E938" s="7"/>
      <x:c r="F938" s="7"/>
    </x:row>
    <x:row r="939" ht="25" customHeight="1">
      <x:c r="A939" s="14" t="str">
        <x:v>☐</x:v>
      </x:c>
      <x:c r="B939" s="12" t="n">
        <x:v>682</x:v>
      </x:c>
      <x:c r="C939" s="16" t="e">
        <x:f>HYPERLINK("https://pokecottage.com/pokemon-master-sets/spritzee","Spritzee")</x:f>
        <x:v>HYPERLINK is not implemented. linkLocation=https://pokecottage.com/pokemon-master-sets/spritzee, friendlyName=Spritzee</x:v>
      </x:c>
      <x:c r="D939" s="8" t="str">
        <x:v>Gen 6 • Kalos</x:v>
      </x:c>
      <x:c r="E939" s="8"/>
      <x:c r="F939" s="8"/>
    </x:row>
    <x:row r="940" ht="25" customHeight="1">
      <x:c r="A940" s="13" t="str">
        <x:v>☐</x:v>
      </x:c>
      <x:c r="B940" s="11" t="n">
        <x:v>683</x:v>
      </x:c>
      <x:c r="C940" s="15" t="e">
        <x:f>HYPERLINK("https://pokecottage.com/pokemon-master-sets/aromatisse","Aromatisse")</x:f>
        <x:v>HYPERLINK is not implemented. linkLocation=https://pokecottage.com/pokemon-master-sets/aromatisse, friendlyName=Aromatisse</x:v>
      </x:c>
      <x:c r="D940" s="7" t="str">
        <x:v>Gen 6 • Kalos</x:v>
      </x:c>
      <x:c r="E940" s="7"/>
      <x:c r="F940" s="7"/>
    </x:row>
    <x:row r="941" ht="25" customHeight="1">
      <x:c r="A941" s="14" t="str">
        <x:v>☐</x:v>
      </x:c>
      <x:c r="B941" s="12" t="n">
        <x:v>684</x:v>
      </x:c>
      <x:c r="C941" s="16" t="e">
        <x:f>HYPERLINK("https://pokecottage.com/pokemon-master-sets/swirlix","Swirlix")</x:f>
        <x:v>HYPERLINK is not implemented. linkLocation=https://pokecottage.com/pokemon-master-sets/swirlix, friendlyName=Swirlix</x:v>
      </x:c>
      <x:c r="D941" s="8" t="str">
        <x:v>Gen 6 • Kalos</x:v>
      </x:c>
      <x:c r="E941" s="8"/>
      <x:c r="F941" s="8"/>
    </x:row>
    <x:row r="942" ht="25" customHeight="1">
      <x:c r="A942" s="13" t="str">
        <x:v>☐</x:v>
      </x:c>
      <x:c r="B942" s="11" t="n">
        <x:v>685</x:v>
      </x:c>
      <x:c r="C942" s="15" t="e">
        <x:f>HYPERLINK("https://pokecottage.com/pokemon-master-sets/slurpuff","Slurpuff")</x:f>
        <x:v>HYPERLINK is not implemented. linkLocation=https://pokecottage.com/pokemon-master-sets/slurpuff, friendlyName=Slurpuff</x:v>
      </x:c>
      <x:c r="D942" s="7" t="str">
        <x:v>Gen 6 • Kalos</x:v>
      </x:c>
      <x:c r="E942" s="7"/>
      <x:c r="F942" s="7"/>
    </x:row>
    <x:row r="943" ht="25" customHeight="1">
      <x:c r="A943" s="14" t="str">
        <x:v>☐</x:v>
      </x:c>
      <x:c r="B943" s="12" t="n">
        <x:v>686</x:v>
      </x:c>
      <x:c r="C943" s="16" t="e">
        <x:f>HYPERLINK("https://pokecottage.com/pokemon-master-sets/inkay","Inkay")</x:f>
        <x:v>HYPERLINK is not implemented. linkLocation=https://pokecottage.com/pokemon-master-sets/inkay, friendlyName=Inkay</x:v>
      </x:c>
      <x:c r="D943" s="8" t="str">
        <x:v>Gen 6 • Kalos</x:v>
      </x:c>
      <x:c r="E943" s="8"/>
      <x:c r="F943" s="8"/>
    </x:row>
    <x:row r="944" ht="25" customHeight="1">
      <x:c r="A944" s="13" t="str">
        <x:v>☐</x:v>
      </x:c>
      <x:c r="B944" s="11" t="n">
        <x:v>687</x:v>
      </x:c>
      <x:c r="C944" s="15" t="e">
        <x:f>HYPERLINK("https://pokecottage.com/pokemon-master-sets/malamar","Malamar")</x:f>
        <x:v>HYPERLINK is not implemented. linkLocation=https://pokecottage.com/pokemon-master-sets/malamar, friendlyName=Malamar</x:v>
      </x:c>
      <x:c r="D944" s="7" t="str">
        <x:v>Gen 6 • Kalos</x:v>
      </x:c>
      <x:c r="E944" s="7"/>
      <x:c r="F944" s="7"/>
    </x:row>
    <x:row r="945" ht="25" customHeight="1">
      <x:c r="A945" s="14" t="str">
        <x:v>☐</x:v>
      </x:c>
      <x:c r="B945" s="12" t="n">
        <x:v>687</x:v>
      </x:c>
      <x:c r="C945" s="16" t="e">
        <x:f>HYPERLINK("https://pokecottage.com/pokemon-master-sets/malamar","Mega Malamar")</x:f>
        <x:v>HYPERLINK is not implemented. linkLocation=https://pokecottage.com/pokemon-master-sets/malamar, friendlyName=Mega Malamar</x:v>
      </x:c>
      <x:c r="D945" s="8" t="str">
        <x:v>Mega Evolution</x:v>
      </x:c>
      <x:c r="E945" s="8"/>
      <x:c r="F945" s="8"/>
    </x:row>
    <x:row r="946" ht="25" customHeight="1">
      <x:c r="A946" s="13" t="str">
        <x:v>☐</x:v>
      </x:c>
      <x:c r="B946" s="11" t="n">
        <x:v>688</x:v>
      </x:c>
      <x:c r="C946" s="15" t="e">
        <x:f>HYPERLINK("https://pokecottage.com/pokemon-master-sets/binacle","Binacle")</x:f>
        <x:v>HYPERLINK is not implemented. linkLocation=https://pokecottage.com/pokemon-master-sets/binacle, friendlyName=Binacle</x:v>
      </x:c>
      <x:c r="D946" s="7" t="str">
        <x:v>Gen 6 • Kalos</x:v>
      </x:c>
      <x:c r="E946" s="7"/>
      <x:c r="F946" s="7"/>
    </x:row>
    <x:row r="947" ht="25" customHeight="1">
      <x:c r="A947" s="14" t="str">
        <x:v>☐</x:v>
      </x:c>
      <x:c r="B947" s="12" t="n">
        <x:v>689</x:v>
      </x:c>
      <x:c r="C947" s="16" t="e">
        <x:f>HYPERLINK("https://pokecottage.com/pokemon-master-sets/barbaracle","Barbaracle")</x:f>
        <x:v>HYPERLINK is not implemented. linkLocation=https://pokecottage.com/pokemon-master-sets/barbaracle, friendlyName=Barbaracle</x:v>
      </x:c>
      <x:c r="D947" s="8" t="str">
        <x:v>Gen 6 • Kalos</x:v>
      </x:c>
      <x:c r="E947" s="8"/>
      <x:c r="F947" s="8"/>
    </x:row>
    <x:row r="948" ht="25" customHeight="1">
      <x:c r="A948" s="13" t="str">
        <x:v>☐</x:v>
      </x:c>
      <x:c r="B948" s="11" t="n">
        <x:v>689</x:v>
      </x:c>
      <x:c r="C948" s="15" t="e">
        <x:f>HYPERLINK("https://pokecottage.com/pokemon-master-sets/barbaracle","Mega Barbaracle")</x:f>
        <x:v>HYPERLINK is not implemented. linkLocation=https://pokecottage.com/pokemon-master-sets/barbaracle, friendlyName=Mega Barbaracle</x:v>
      </x:c>
      <x:c r="D948" s="7" t="str">
        <x:v>Mega Evolution</x:v>
      </x:c>
      <x:c r="E948" s="7"/>
      <x:c r="F948" s="7"/>
    </x:row>
    <x:row r="949" ht="25" customHeight="1">
      <x:c r="A949" s="14" t="str">
        <x:v>☐</x:v>
      </x:c>
      <x:c r="B949" s="12" t="n">
        <x:v>690</x:v>
      </x:c>
      <x:c r="C949" s="16" t="e">
        <x:f>HYPERLINK("https://pokecottage.com/pokemon-master-sets/skrelp","Skrelp")</x:f>
        <x:v>HYPERLINK is not implemented. linkLocation=https://pokecottage.com/pokemon-master-sets/skrelp, friendlyName=Skrelp</x:v>
      </x:c>
      <x:c r="D949" s="8" t="str">
        <x:v>Gen 6 • Kalos</x:v>
      </x:c>
      <x:c r="E949" s="8"/>
      <x:c r="F949" s="8"/>
    </x:row>
    <x:row r="950" ht="25" customHeight="1">
      <x:c r="A950" s="13" t="str">
        <x:v>☐</x:v>
      </x:c>
      <x:c r="B950" s="11" t="n">
        <x:v>691</x:v>
      </x:c>
      <x:c r="C950" s="15" t="e">
        <x:f>HYPERLINK("https://pokecottage.com/pokemon-master-sets/dragalge","Dragalge")</x:f>
        <x:v>HYPERLINK is not implemented. linkLocation=https://pokecottage.com/pokemon-master-sets/dragalge, friendlyName=Dragalge</x:v>
      </x:c>
      <x:c r="D950" s="7" t="str">
        <x:v>Gen 6 • Kalos</x:v>
      </x:c>
      <x:c r="E950" s="7"/>
      <x:c r="F950" s="7"/>
    </x:row>
    <x:row r="951" ht="25" customHeight="1">
      <x:c r="A951" s="14" t="str">
        <x:v>☐</x:v>
      </x:c>
      <x:c r="B951" s="12" t="n">
        <x:v>691</x:v>
      </x:c>
      <x:c r="C951" s="16" t="e">
        <x:f>HYPERLINK("https://pokecottage.com/pokemon-master-sets/dragalge","Mega Dragalge")</x:f>
        <x:v>HYPERLINK is not implemented. linkLocation=https://pokecottage.com/pokemon-master-sets/dragalge, friendlyName=Mega Dragalge</x:v>
      </x:c>
      <x:c r="D951" s="8" t="str">
        <x:v>Mega Evolution</x:v>
      </x:c>
      <x:c r="E951" s="8"/>
      <x:c r="F951" s="8"/>
    </x:row>
    <x:row r="952" ht="25" customHeight="1">
      <x:c r="A952" s="13" t="str">
        <x:v>☐</x:v>
      </x:c>
      <x:c r="B952" s="11" t="n">
        <x:v>692</x:v>
      </x:c>
      <x:c r="C952" s="15" t="e">
        <x:f>HYPERLINK("https://pokecottage.com/pokemon-master-sets/clauncher","Clauncher")</x:f>
        <x:v>HYPERLINK is not implemented. linkLocation=https://pokecottage.com/pokemon-master-sets/clauncher, friendlyName=Clauncher</x:v>
      </x:c>
      <x:c r="D952" s="7" t="str">
        <x:v>Gen 6 • Kalos</x:v>
      </x:c>
      <x:c r="E952" s="7"/>
      <x:c r="F952" s="7"/>
    </x:row>
    <x:row r="953" ht="25" customHeight="1">
      <x:c r="A953" s="14" t="str">
        <x:v>☐</x:v>
      </x:c>
      <x:c r="B953" s="12" t="n">
        <x:v>693</x:v>
      </x:c>
      <x:c r="C953" s="16" t="e">
        <x:f>HYPERLINK("https://pokecottage.com/pokemon-master-sets/clawitzer","Clawitzer")</x:f>
        <x:v>HYPERLINK is not implemented. linkLocation=https://pokecottage.com/pokemon-master-sets/clawitzer, friendlyName=Clawitzer</x:v>
      </x:c>
      <x:c r="D953" s="8" t="str">
        <x:v>Gen 6 • Kalos</x:v>
      </x:c>
      <x:c r="E953" s="8"/>
      <x:c r="F953" s="8"/>
    </x:row>
    <x:row r="954" ht="25" customHeight="1">
      <x:c r="A954" s="13" t="str">
        <x:v>☐</x:v>
      </x:c>
      <x:c r="B954" s="11" t="n">
        <x:v>694</x:v>
      </x:c>
      <x:c r="C954" s="15" t="e">
        <x:f>HYPERLINK("https://pokecottage.com/pokemon-master-sets/helioptile","Helioptile")</x:f>
        <x:v>HYPERLINK is not implemented. linkLocation=https://pokecottage.com/pokemon-master-sets/helioptile, friendlyName=Helioptile</x:v>
      </x:c>
      <x:c r="D954" s="7" t="str">
        <x:v>Gen 6 • Kalos</x:v>
      </x:c>
      <x:c r="E954" s="7"/>
      <x:c r="F954" s="7"/>
    </x:row>
    <x:row r="955" ht="25" customHeight="1">
      <x:c r="A955" s="14" t="str">
        <x:v>☐</x:v>
      </x:c>
      <x:c r="B955" s="12" t="n">
        <x:v>695</x:v>
      </x:c>
      <x:c r="C955" s="16" t="e">
        <x:f>HYPERLINK("https://pokecottage.com/pokemon-master-sets/heliolisk","Heliolisk")</x:f>
        <x:v>HYPERLINK is not implemented. linkLocation=https://pokecottage.com/pokemon-master-sets/heliolisk, friendlyName=Heliolisk</x:v>
      </x:c>
      <x:c r="D955" s="8" t="str">
        <x:v>Gen 6 • Kalos</x:v>
      </x:c>
      <x:c r="E955" s="8"/>
      <x:c r="F955" s="8"/>
    </x:row>
    <x:row r="956" ht="25" customHeight="1">
      <x:c r="A956" s="13" t="str">
        <x:v>☐</x:v>
      </x:c>
      <x:c r="B956" s="11" t="n">
        <x:v>696</x:v>
      </x:c>
      <x:c r="C956" s="15" t="e">
        <x:f>HYPERLINK("https://pokecottage.com/pokemon-master-sets/tyrunt","Tyrunt")</x:f>
        <x:v>HYPERLINK is not implemented. linkLocation=https://pokecottage.com/pokemon-master-sets/tyrunt, friendlyName=Tyrunt</x:v>
      </x:c>
      <x:c r="D956" s="7" t="str">
        <x:v>Gen 6 • Kalos</x:v>
      </x:c>
      <x:c r="E956" s="7"/>
      <x:c r="F956" s="7"/>
    </x:row>
    <x:row r="957" ht="25" customHeight="1">
      <x:c r="A957" s="14" t="str">
        <x:v>☐</x:v>
      </x:c>
      <x:c r="B957" s="12" t="n">
        <x:v>697</x:v>
      </x:c>
      <x:c r="C957" s="16" t="e">
        <x:f>HYPERLINK("https://pokecottage.com/pokemon-master-sets/tyrantrum","Tyrantrum")</x:f>
        <x:v>HYPERLINK is not implemented. linkLocation=https://pokecottage.com/pokemon-master-sets/tyrantrum, friendlyName=Tyrantrum</x:v>
      </x:c>
      <x:c r="D957" s="8" t="str">
        <x:v>Gen 6 • Kalos</x:v>
      </x:c>
      <x:c r="E957" s="8"/>
      <x:c r="F957" s="8"/>
    </x:row>
    <x:row r="958" ht="25" customHeight="1">
      <x:c r="A958" s="13" t="str">
        <x:v>☐</x:v>
      </x:c>
      <x:c r="B958" s="11" t="n">
        <x:v>698</x:v>
      </x:c>
      <x:c r="C958" s="15" t="e">
        <x:f>HYPERLINK("https://pokecottage.com/pokemon-master-sets/amaura","Amaura")</x:f>
        <x:v>HYPERLINK is not implemented. linkLocation=https://pokecottage.com/pokemon-master-sets/amaura, friendlyName=Amaura</x:v>
      </x:c>
      <x:c r="D958" s="7" t="str">
        <x:v>Gen 6 • Kalos</x:v>
      </x:c>
      <x:c r="E958" s="7"/>
      <x:c r="F958" s="7"/>
    </x:row>
    <x:row r="959" ht="25" customHeight="1">
      <x:c r="A959" s="14" t="str">
        <x:v>☐</x:v>
      </x:c>
      <x:c r="B959" s="12" t="n">
        <x:v>699</x:v>
      </x:c>
      <x:c r="C959" s="16" t="e">
        <x:f>HYPERLINK("https://pokecottage.com/pokemon-master-sets/aurorus","Aurorus")</x:f>
        <x:v>HYPERLINK is not implemented. linkLocation=https://pokecottage.com/pokemon-master-sets/aurorus, friendlyName=Aurorus</x:v>
      </x:c>
      <x:c r="D959" s="8" t="str">
        <x:v>Gen 6 • Kalos</x:v>
      </x:c>
      <x:c r="E959" s="8"/>
      <x:c r="F959" s="8"/>
    </x:row>
    <x:row r="960" ht="25" customHeight="1">
      <x:c r="A960" s="13" t="str">
        <x:v>☐</x:v>
      </x:c>
      <x:c r="B960" s="11" t="n">
        <x:v>700</x:v>
      </x:c>
      <x:c r="C960" s="15" t="e">
        <x:f>HYPERLINK("https://pokecottage.com/pokemon-master-sets/sylveon","Sylveon")</x:f>
        <x:v>HYPERLINK is not implemented. linkLocation=https://pokecottage.com/pokemon-master-sets/sylveon, friendlyName=Sylveon</x:v>
      </x:c>
      <x:c r="D960" s="7" t="str">
        <x:v>Gen 6 • Kalos</x:v>
      </x:c>
      <x:c r="E960" s="7"/>
      <x:c r="F960" s="7"/>
    </x:row>
    <x:row r="961" ht="25" customHeight="1">
      <x:c r="A961" s="14" t="str">
        <x:v>☐</x:v>
      </x:c>
      <x:c r="B961" s="12" t="n">
        <x:v>701</x:v>
      </x:c>
      <x:c r="C961" s="16" t="e">
        <x:f>HYPERLINK("https://pokecottage.com/pokemon-master-sets/hawlucha","Hawlucha")</x:f>
        <x:v>HYPERLINK is not implemented. linkLocation=https://pokecottage.com/pokemon-master-sets/hawlucha, friendlyName=Hawlucha</x:v>
      </x:c>
      <x:c r="D961" s="8" t="str">
        <x:v>Gen 6 • Kalos</x:v>
      </x:c>
      <x:c r="E961" s="8"/>
      <x:c r="F961" s="8"/>
    </x:row>
    <x:row r="962" ht="25" customHeight="1">
      <x:c r="A962" s="13" t="str">
        <x:v>☐</x:v>
      </x:c>
      <x:c r="B962" s="11" t="n">
        <x:v>701</x:v>
      </x:c>
      <x:c r="C962" s="15" t="e">
        <x:f>HYPERLINK("https://pokecottage.com/pokemon-master-sets/hawlucha","Mega Hawlucha")</x:f>
        <x:v>HYPERLINK is not implemented. linkLocation=https://pokecottage.com/pokemon-master-sets/hawlucha, friendlyName=Mega Hawlucha</x:v>
      </x:c>
      <x:c r="D962" s="7" t="str">
        <x:v>Mega Evolution</x:v>
      </x:c>
      <x:c r="E962" s="7"/>
      <x:c r="F962" s="7"/>
    </x:row>
    <x:row r="963" ht="25" customHeight="1">
      <x:c r="A963" s="14" t="str">
        <x:v>☐</x:v>
      </x:c>
      <x:c r="B963" s="12" t="n">
        <x:v>702</x:v>
      </x:c>
      <x:c r="C963" s="16" t="e">
        <x:f>HYPERLINK("https://pokecottage.com/pokemon-master-sets/dedenne","Dedenne")</x:f>
        <x:v>HYPERLINK is not implemented. linkLocation=https://pokecottage.com/pokemon-master-sets/dedenne, friendlyName=Dedenne</x:v>
      </x:c>
      <x:c r="D963" s="8" t="str">
        <x:v>Gen 6 • Kalos</x:v>
      </x:c>
      <x:c r="E963" s="8"/>
      <x:c r="F963" s="8"/>
    </x:row>
    <x:row r="964" ht="25" customHeight="1">
      <x:c r="A964" s="13" t="str">
        <x:v>☐</x:v>
      </x:c>
      <x:c r="B964" s="11" t="n">
        <x:v>703</x:v>
      </x:c>
      <x:c r="C964" s="15" t="e">
        <x:f>HYPERLINK("https://pokecottage.com/pokemon-master-sets/carbink","Carbink")</x:f>
        <x:v>HYPERLINK is not implemented. linkLocation=https://pokecottage.com/pokemon-master-sets/carbink, friendlyName=Carbink</x:v>
      </x:c>
      <x:c r="D964" s="7" t="str">
        <x:v>Gen 6 • Kalos</x:v>
      </x:c>
      <x:c r="E964" s="7"/>
      <x:c r="F964" s="7"/>
    </x:row>
    <x:row r="965" ht="25" customHeight="1">
      <x:c r="A965" s="14" t="str">
        <x:v>☐</x:v>
      </x:c>
      <x:c r="B965" s="12" t="n">
        <x:v>704</x:v>
      </x:c>
      <x:c r="C965" s="16" t="e">
        <x:f>HYPERLINK("https://pokecottage.com/pokemon-master-sets/goomy","Goomy")</x:f>
        <x:v>HYPERLINK is not implemented. linkLocation=https://pokecottage.com/pokemon-master-sets/goomy, friendlyName=Goomy</x:v>
      </x:c>
      <x:c r="D965" s="8" t="str">
        <x:v>Gen 6 • Kalos</x:v>
      </x:c>
      <x:c r="E965" s="8"/>
      <x:c r="F965" s="8"/>
    </x:row>
    <x:row r="966" ht="25" customHeight="1">
      <x:c r="A966" s="13" t="str">
        <x:v>☐</x:v>
      </x:c>
      <x:c r="B966" s="11" t="n">
        <x:v>705</x:v>
      </x:c>
      <x:c r="C966" s="15" t="e">
        <x:f>HYPERLINK("https://pokecottage.com/pokemon-master-sets/sliggoo","Sliggoo")</x:f>
        <x:v>HYPERLINK is not implemented. linkLocation=https://pokecottage.com/pokemon-master-sets/sliggoo, friendlyName=Sliggoo</x:v>
      </x:c>
      <x:c r="D966" s="7" t="str">
        <x:v>Gen 6 • Kalos</x:v>
      </x:c>
      <x:c r="E966" s="7"/>
      <x:c r="F966" s="7"/>
    </x:row>
    <x:row r="967" ht="25" customHeight="1">
      <x:c r="A967" s="14" t="str">
        <x:v>☐</x:v>
      </x:c>
      <x:c r="B967" s="12" t="n">
        <x:v>705</x:v>
      </x:c>
      <x:c r="C967" s="16" t="e">
        <x:f>HYPERLINK("https://pokecottage.com/pokemon-master-sets/sliggoo","Hisuian Sliggoo")</x:f>
        <x:v>HYPERLINK is not implemented. linkLocation=https://pokecottage.com/pokemon-master-sets/sliggoo, friendlyName=Hisuian Sliggoo</x:v>
      </x:c>
      <x:c r="D967" s="8" t="str">
        <x:v>Regional</x:v>
      </x:c>
      <x:c r="E967" s="8"/>
      <x:c r="F967" s="8"/>
    </x:row>
    <x:row r="968" ht="25" customHeight="1">
      <x:c r="A968" s="13" t="str">
        <x:v>☐</x:v>
      </x:c>
      <x:c r="B968" s="11" t="n">
        <x:v>706</x:v>
      </x:c>
      <x:c r="C968" s="15" t="e">
        <x:f>HYPERLINK("https://pokecottage.com/pokemon-master-sets/goodra","Goodra")</x:f>
        <x:v>HYPERLINK is not implemented. linkLocation=https://pokecottage.com/pokemon-master-sets/goodra, friendlyName=Goodra</x:v>
      </x:c>
      <x:c r="D968" s="7" t="str">
        <x:v>Gen 6 • Kalos</x:v>
      </x:c>
      <x:c r="E968" s="7"/>
      <x:c r="F968" s="7"/>
    </x:row>
    <x:row r="969" ht="25" customHeight="1">
      <x:c r="A969" s="14" t="str">
        <x:v>☐</x:v>
      </x:c>
      <x:c r="B969" s="12" t="n">
        <x:v>706</x:v>
      </x:c>
      <x:c r="C969" s="16" t="e">
        <x:f>HYPERLINK("https://pokecottage.com/pokemon-master-sets/goodra","Hisuian Goodra")</x:f>
        <x:v>HYPERLINK is not implemented. linkLocation=https://pokecottage.com/pokemon-master-sets/goodra, friendlyName=Hisuian Goodra</x:v>
      </x:c>
      <x:c r="D969" s="8" t="str">
        <x:v>Regional</x:v>
      </x:c>
      <x:c r="E969" s="8"/>
      <x:c r="F969" s="8"/>
    </x:row>
    <x:row r="970" ht="25" customHeight="1">
      <x:c r="A970" s="13" t="str">
        <x:v>☐</x:v>
      </x:c>
      <x:c r="B970" s="11" t="n">
        <x:v>707</x:v>
      </x:c>
      <x:c r="C970" s="15" t="e">
        <x:f>HYPERLINK("https://pokecottage.com/pokemon-master-sets/klefki","Klefki")</x:f>
        <x:v>HYPERLINK is not implemented. linkLocation=https://pokecottage.com/pokemon-master-sets/klefki, friendlyName=Klefki</x:v>
      </x:c>
      <x:c r="D970" s="7" t="str">
        <x:v>Gen 6 • Kalos</x:v>
      </x:c>
      <x:c r="E970" s="7"/>
      <x:c r="F970" s="7"/>
    </x:row>
    <x:row r="971" ht="25" customHeight="1">
      <x:c r="A971" s="14" t="str">
        <x:v>☐</x:v>
      </x:c>
      <x:c r="B971" s="12" t="n">
        <x:v>708</x:v>
      </x:c>
      <x:c r="C971" s="16" t="e">
        <x:f>HYPERLINK("https://pokecottage.com/pokemon-master-sets/phantump","Phantump")</x:f>
        <x:v>HYPERLINK is not implemented. linkLocation=https://pokecottage.com/pokemon-master-sets/phantump, friendlyName=Phantump</x:v>
      </x:c>
      <x:c r="D971" s="8" t="str">
        <x:v>Gen 6 • Kalos</x:v>
      </x:c>
      <x:c r="E971" s="8"/>
      <x:c r="F971" s="8"/>
    </x:row>
    <x:row r="972" ht="25" customHeight="1">
      <x:c r="A972" s="13" t="str">
        <x:v>☐</x:v>
      </x:c>
      <x:c r="B972" s="11" t="n">
        <x:v>709</x:v>
      </x:c>
      <x:c r="C972" s="15" t="e">
        <x:f>HYPERLINK("https://pokecottage.com/pokemon-master-sets/trevenant","Trevenant")</x:f>
        <x:v>HYPERLINK is not implemented. linkLocation=https://pokecottage.com/pokemon-master-sets/trevenant, friendlyName=Trevenant</x:v>
      </x:c>
      <x:c r="D972" s="7" t="str">
        <x:v>Gen 6 • Kalos</x:v>
      </x:c>
      <x:c r="E972" s="7"/>
      <x:c r="F972" s="7"/>
    </x:row>
    <x:row r="973" ht="25" customHeight="1">
      <x:c r="A973" s="14" t="str">
        <x:v>☐</x:v>
      </x:c>
      <x:c r="B973" s="12" t="n">
        <x:v>710</x:v>
      </x:c>
      <x:c r="C973" s="16" t="e">
        <x:f>HYPERLINK("https://pokecottage.com/pokemon-master-sets/pumpkaboo","Pumpkaboo")</x:f>
        <x:v>HYPERLINK is not implemented. linkLocation=https://pokecottage.com/pokemon-master-sets/pumpkaboo, friendlyName=Pumpkaboo</x:v>
      </x:c>
      <x:c r="D973" s="8" t="str">
        <x:v>Gen 6 • Kalos</x:v>
      </x:c>
      <x:c r="E973" s="8"/>
      <x:c r="F973" s="8"/>
    </x:row>
    <x:row r="974" ht="25" customHeight="1">
      <x:c r="A974" s="13" t="str">
        <x:v>☐</x:v>
      </x:c>
      <x:c r="B974" s="11" t="n">
        <x:v>711</x:v>
      </x:c>
      <x:c r="C974" s="15" t="e">
        <x:f>HYPERLINK("https://pokecottage.com/pokemon-master-sets/gourgeist","Gourgeist")</x:f>
        <x:v>HYPERLINK is not implemented. linkLocation=https://pokecottage.com/pokemon-master-sets/gourgeist, friendlyName=Gourgeist</x:v>
      </x:c>
      <x:c r="D974" s="7" t="str">
        <x:v>Gen 6 • Kalos</x:v>
      </x:c>
      <x:c r="E974" s="7"/>
      <x:c r="F974" s="7"/>
    </x:row>
    <x:row r="975" ht="25" customHeight="1">
      <x:c r="A975" s="14" t="str">
        <x:v>☐</x:v>
      </x:c>
      <x:c r="B975" s="12" t="n">
        <x:v>712</x:v>
      </x:c>
      <x:c r="C975" s="16" t="e">
        <x:f>HYPERLINK("https://pokecottage.com/pokemon-master-sets/bergmite","Bergmite")</x:f>
        <x:v>HYPERLINK is not implemented. linkLocation=https://pokecottage.com/pokemon-master-sets/bergmite, friendlyName=Bergmite</x:v>
      </x:c>
      <x:c r="D975" s="8" t="str">
        <x:v>Gen 6 • Kalos</x:v>
      </x:c>
      <x:c r="E975" s="8"/>
      <x:c r="F975" s="8"/>
    </x:row>
    <x:row r="976" ht="25" customHeight="1">
      <x:c r="A976" s="13" t="str">
        <x:v>☐</x:v>
      </x:c>
      <x:c r="B976" s="11" t="n">
        <x:v>713</x:v>
      </x:c>
      <x:c r="C976" s="15" t="e">
        <x:f>HYPERLINK("https://pokecottage.com/pokemon-master-sets/avalugg","Avalugg")</x:f>
        <x:v>HYPERLINK is not implemented. linkLocation=https://pokecottage.com/pokemon-master-sets/avalugg, friendlyName=Avalugg</x:v>
      </x:c>
      <x:c r="D976" s="7" t="str">
        <x:v>Gen 6 • Kalos</x:v>
      </x:c>
      <x:c r="E976" s="7"/>
      <x:c r="F976" s="7"/>
    </x:row>
    <x:row r="977" ht="25" customHeight="1">
      <x:c r="A977" s="14" t="str">
        <x:v>☐</x:v>
      </x:c>
      <x:c r="B977" s="12" t="n">
        <x:v>713</x:v>
      </x:c>
      <x:c r="C977" s="16" t="e">
        <x:f>HYPERLINK("https://pokecottage.com/pokemon-master-sets/avalugg","Hisuian Avalugg")</x:f>
        <x:v>HYPERLINK is not implemented. linkLocation=https://pokecottage.com/pokemon-master-sets/avalugg, friendlyName=Hisuian Avalugg</x:v>
      </x:c>
      <x:c r="D977" s="8" t="str">
        <x:v>Regional</x:v>
      </x:c>
      <x:c r="E977" s="8"/>
      <x:c r="F977" s="8"/>
    </x:row>
    <x:row r="978" ht="25" customHeight="1">
      <x:c r="A978" s="13" t="str">
        <x:v>☐</x:v>
      </x:c>
      <x:c r="B978" s="11" t="n">
        <x:v>714</x:v>
      </x:c>
      <x:c r="C978" s="15" t="e">
        <x:f>HYPERLINK("https://pokecottage.com/pokemon-master-sets/noibat","Noibat")</x:f>
        <x:v>HYPERLINK is not implemented. linkLocation=https://pokecottage.com/pokemon-master-sets/noibat, friendlyName=Noibat</x:v>
      </x:c>
      <x:c r="D978" s="7" t="str">
        <x:v>Gen 6 • Kalos</x:v>
      </x:c>
      <x:c r="E978" s="7"/>
      <x:c r="F978" s="7"/>
    </x:row>
    <x:row r="979" ht="25" customHeight="1">
      <x:c r="A979" s="14" t="str">
        <x:v>☐</x:v>
      </x:c>
      <x:c r="B979" s="12" t="n">
        <x:v>715</x:v>
      </x:c>
      <x:c r="C979" s="16" t="e">
        <x:f>HYPERLINK("https://pokecottage.com/pokemon-master-sets/noivern","Noivern")</x:f>
        <x:v>HYPERLINK is not implemented. linkLocation=https://pokecottage.com/pokemon-master-sets/noivern, friendlyName=Noivern</x:v>
      </x:c>
      <x:c r="D979" s="8" t="str">
        <x:v>Gen 6 • Kalos</x:v>
      </x:c>
      <x:c r="E979" s="8"/>
      <x:c r="F979" s="8"/>
    </x:row>
    <x:row r="980" ht="25" customHeight="1">
      <x:c r="A980" s="13" t="str">
        <x:v>☐</x:v>
      </x:c>
      <x:c r="B980" s="11" t="n">
        <x:v>716</x:v>
      </x:c>
      <x:c r="C980" s="15" t="e">
        <x:f>HYPERLINK("https://pokecottage.com/pokemon-master-sets/xerneas","Xerneas (Neutral Mode)")</x:f>
        <x:v>HYPERLINK is not implemented. linkLocation=https://pokecottage.com/pokemon-master-sets/xerneas, friendlyName=Xerneas (Neutral Mode)</x:v>
      </x:c>
      <x:c r="D980" s="7" t="str">
        <x:v>Other Form</x:v>
      </x:c>
      <x:c r="E980" s="7"/>
      <x:c r="F980" s="7"/>
    </x:row>
    <x:row r="981" ht="25" customHeight="1">
      <x:c r="A981" s="14" t="str">
        <x:v>☐</x:v>
      </x:c>
      <x:c r="B981" s="12" t="n">
        <x:v>716</x:v>
      </x:c>
      <x:c r="C981" s="16" t="e">
        <x:f>HYPERLINK("https://pokecottage.com/pokemon-master-sets/xerneas","Xerneas (Active Mode)")</x:f>
        <x:v>HYPERLINK is not implemented. linkLocation=https://pokecottage.com/pokemon-master-sets/xerneas, friendlyName=Xerneas (Active Mode)</x:v>
      </x:c>
      <x:c r="D981" s="8" t="str">
        <x:v>Other Form</x:v>
      </x:c>
      <x:c r="E981" s="8"/>
      <x:c r="F981" s="8"/>
    </x:row>
    <x:row r="982" ht="25" customHeight="1">
      <x:c r="A982" s="13" t="str">
        <x:v>☐</x:v>
      </x:c>
      <x:c r="B982" s="11" t="n">
        <x:v>717</x:v>
      </x:c>
      <x:c r="C982" s="15" t="e">
        <x:f>HYPERLINK("https://pokecottage.com/pokemon-master-sets/yveltal","Yveltal")</x:f>
        <x:v>HYPERLINK is not implemented. linkLocation=https://pokecottage.com/pokemon-master-sets/yveltal, friendlyName=Yveltal</x:v>
      </x:c>
      <x:c r="D982" s="7" t="str">
        <x:v>Gen 6 • Kalos</x:v>
      </x:c>
      <x:c r="E982" s="7"/>
      <x:c r="F982" s="7"/>
    </x:row>
    <x:row r="983" ht="25" customHeight="1">
      <x:c r="A983" s="14" t="str">
        <x:v>☐</x:v>
      </x:c>
      <x:c r="B983" s="12" t="n">
        <x:v>718</x:v>
      </x:c>
      <x:c r="C983" s="16" t="e">
        <x:f>HYPERLINK("https://pokecottage.com/pokemon-master-sets/zygarde","Zygarde (10% Forme)")</x:f>
        <x:v>HYPERLINK is not implemented. linkLocation=https://pokecottage.com/pokemon-master-sets/zygarde, friendlyName=Zygarde (10% Forme)</x:v>
      </x:c>
      <x:c r="D983" s="8" t="str">
        <x:v>Other Form</x:v>
      </x:c>
      <x:c r="E983" s="8"/>
      <x:c r="F983" s="8"/>
    </x:row>
    <x:row r="984" ht="25" customHeight="1">
      <x:c r="A984" s="13" t="str">
        <x:v>☐</x:v>
      </x:c>
      <x:c r="B984" s="11" t="n">
        <x:v>718</x:v>
      </x:c>
      <x:c r="C984" s="15" t="e">
        <x:f>HYPERLINK("https://pokecottage.com/pokemon-master-sets/zygarde","Zygarde (50% Forme)")</x:f>
        <x:v>HYPERLINK is not implemented. linkLocation=https://pokecottage.com/pokemon-master-sets/zygarde, friendlyName=Zygarde (50% Forme)</x:v>
      </x:c>
      <x:c r="D984" s="7" t="str">
        <x:v>Other Form</x:v>
      </x:c>
      <x:c r="E984" s="7"/>
      <x:c r="F984" s="7"/>
    </x:row>
    <x:row r="985" ht="25" customHeight="1">
      <x:c r="A985" s="14" t="str">
        <x:v>☐</x:v>
      </x:c>
      <x:c r="B985" s="12" t="n">
        <x:v>718</x:v>
      </x:c>
      <x:c r="C985" s="16" t="e">
        <x:f>HYPERLINK("https://pokecottage.com/pokemon-master-sets/zygarde","Zygarde (Complete Forme)")</x:f>
        <x:v>HYPERLINK is not implemented. linkLocation=https://pokecottage.com/pokemon-master-sets/zygarde, friendlyName=Zygarde (Complete Forme)</x:v>
      </x:c>
      <x:c r="D985" s="8" t="str">
        <x:v>Other Form</x:v>
      </x:c>
      <x:c r="E985" s="8"/>
      <x:c r="F985" s="8"/>
    </x:row>
    <x:row r="986" ht="25" customHeight="1">
      <x:c r="A986" s="13" t="str">
        <x:v>☐</x:v>
      </x:c>
      <x:c r="B986" s="11" t="n">
        <x:v>718</x:v>
      </x:c>
      <x:c r="C986" s="15" t="e">
        <x:f>HYPERLINK("https://pokecottage.com/pokemon-master-sets/zygarde","Mega Zygarde")</x:f>
        <x:v>HYPERLINK is not implemented. linkLocation=https://pokecottage.com/pokemon-master-sets/zygarde, friendlyName=Mega Zygarde</x:v>
      </x:c>
      <x:c r="D986" s="7" t="str">
        <x:v>Mega Evolution</x:v>
      </x:c>
      <x:c r="E986" s="7"/>
      <x:c r="F986" s="7"/>
    </x:row>
    <x:row r="987" ht="25" customHeight="1">
      <x:c r="A987" s="14" t="str">
        <x:v>☐</x:v>
      </x:c>
      <x:c r="B987" s="12" t="n">
        <x:v>719</x:v>
      </x:c>
      <x:c r="C987" s="16" t="e">
        <x:f>HYPERLINK("https://pokecottage.com/pokemon-master-sets/diancie","Diancie")</x:f>
        <x:v>HYPERLINK is not implemented. linkLocation=https://pokecottage.com/pokemon-master-sets/diancie, friendlyName=Diancie</x:v>
      </x:c>
      <x:c r="D987" s="8" t="str">
        <x:v>Gen 6 • Kalos</x:v>
      </x:c>
      <x:c r="E987" s="8"/>
      <x:c r="F987" s="8"/>
    </x:row>
    <x:row r="988" ht="25" customHeight="1">
      <x:c r="A988" s="13" t="str">
        <x:v>☐</x:v>
      </x:c>
      <x:c r="B988" s="11" t="n">
        <x:v>719</x:v>
      </x:c>
      <x:c r="C988" s="15" t="e">
        <x:f>HYPERLINK("https://pokecottage.com/pokemon-master-sets/diancie","Mega Diancie")</x:f>
        <x:v>HYPERLINK is not implemented. linkLocation=https://pokecottage.com/pokemon-master-sets/diancie, friendlyName=Mega Diancie</x:v>
      </x:c>
      <x:c r="D988" s="7" t="str">
        <x:v>Mega Evolution</x:v>
      </x:c>
      <x:c r="E988" s="7"/>
      <x:c r="F988" s="7"/>
    </x:row>
    <x:row r="989" ht="25" customHeight="1">
      <x:c r="A989" s="14" t="str">
        <x:v>☐</x:v>
      </x:c>
      <x:c r="B989" s="12" t="n">
        <x:v>720</x:v>
      </x:c>
      <x:c r="C989" s="16" t="e">
        <x:f>HYPERLINK("https://pokecottage.com/pokemon-master-sets/hoopa","Hoopa Confined")</x:f>
        <x:v>HYPERLINK is not implemented. linkLocation=https://pokecottage.com/pokemon-master-sets/hoopa, friendlyName=Hoopa Confined</x:v>
      </x:c>
      <x:c r="D989" s="8" t="str">
        <x:v>Other Form</x:v>
      </x:c>
      <x:c r="E989" s="8"/>
      <x:c r="F989" s="8"/>
    </x:row>
    <x:row r="990" ht="25" customHeight="1">
      <x:c r="A990" s="13" t="str">
        <x:v>☐</x:v>
      </x:c>
      <x:c r="B990" s="11" t="n">
        <x:v>720</x:v>
      </x:c>
      <x:c r="C990" s="15" t="e">
        <x:f>HYPERLINK("https://pokecottage.com/pokemon-master-sets/hoopa","Hoopa Unbound")</x:f>
        <x:v>HYPERLINK is not implemented. linkLocation=https://pokecottage.com/pokemon-master-sets/hoopa, friendlyName=Hoopa Unbound</x:v>
      </x:c>
      <x:c r="D990" s="7" t="str">
        <x:v>Other Form</x:v>
      </x:c>
      <x:c r="E990" s="7"/>
      <x:c r="F990" s="7"/>
    </x:row>
    <x:row r="991" ht="25" customHeight="1">
      <x:c r="A991" s="14" t="str">
        <x:v>☐</x:v>
      </x:c>
      <x:c r="B991" s="12" t="n">
        <x:v>721</x:v>
      </x:c>
      <x:c r="C991" s="16" t="e">
        <x:f>HYPERLINK("https://pokecottage.com/pokemon-master-sets/volcanion","Volcanion")</x:f>
        <x:v>HYPERLINK is not implemented. linkLocation=https://pokecottage.com/pokemon-master-sets/volcanion, friendlyName=Volcanion</x:v>
      </x:c>
      <x:c r="D991" s="8" t="str">
        <x:v>Gen 6 • Kalos</x:v>
      </x:c>
      <x:c r="E991" s="8"/>
      <x:c r="F991" s="8"/>
    </x:row>
    <x:row r="992" ht="25" customHeight="1">
      <x:c r="A992" s="13" t="str">
        <x:v>☐</x:v>
      </x:c>
      <x:c r="B992" s="11" t="n">
        <x:v>722</x:v>
      </x:c>
      <x:c r="C992" s="15" t="e">
        <x:f>HYPERLINK("https://pokecottage.com/pokemon-master-sets/rowlet","Rowlet")</x:f>
        <x:v>HYPERLINK is not implemented. linkLocation=https://pokecottage.com/pokemon-master-sets/rowlet, friendlyName=Rowlet</x:v>
      </x:c>
      <x:c r="D992" s="7" t="str">
        <x:v>Gen 7 • Alola</x:v>
      </x:c>
      <x:c r="E992" s="7"/>
      <x:c r="F992" s="7"/>
    </x:row>
    <x:row r="993" ht="25" customHeight="1">
      <x:c r="A993" s="14" t="str">
        <x:v>☐</x:v>
      </x:c>
      <x:c r="B993" s="12" t="n">
        <x:v>723</x:v>
      </x:c>
      <x:c r="C993" s="16" t="e">
        <x:f>HYPERLINK("https://pokecottage.com/pokemon-master-sets/dartrix","Dartrix")</x:f>
        <x:v>HYPERLINK is not implemented. linkLocation=https://pokecottage.com/pokemon-master-sets/dartrix, friendlyName=Dartrix</x:v>
      </x:c>
      <x:c r="D993" s="8" t="str">
        <x:v>Gen 7 • Alola</x:v>
      </x:c>
      <x:c r="E993" s="8"/>
      <x:c r="F993" s="8"/>
    </x:row>
    <x:row r="994" ht="25" customHeight="1">
      <x:c r="A994" s="13" t="str">
        <x:v>☐</x:v>
      </x:c>
      <x:c r="B994" s="11" t="n">
        <x:v>724</x:v>
      </x:c>
      <x:c r="C994" s="15" t="e">
        <x:f>HYPERLINK("https://pokecottage.com/pokemon-master-sets/decidueye","Decidueye")</x:f>
        <x:v>HYPERLINK is not implemented. linkLocation=https://pokecottage.com/pokemon-master-sets/decidueye, friendlyName=Decidueye</x:v>
      </x:c>
      <x:c r="D994" s="7" t="str">
        <x:v>Gen 7 • Alola</x:v>
      </x:c>
      <x:c r="E994" s="7"/>
      <x:c r="F994" s="7"/>
    </x:row>
    <x:row r="995" ht="25" customHeight="1">
      <x:c r="A995" s="14" t="str">
        <x:v>☐</x:v>
      </x:c>
      <x:c r="B995" s="12" t="n">
        <x:v>724</x:v>
      </x:c>
      <x:c r="C995" s="16" t="e">
        <x:f>HYPERLINK("https://pokecottage.com/pokemon-master-sets/decidueye","Hisuian Decidueye")</x:f>
        <x:v>HYPERLINK is not implemented. linkLocation=https://pokecottage.com/pokemon-master-sets/decidueye, friendlyName=Hisuian Decidueye</x:v>
      </x:c>
      <x:c r="D995" s="8" t="str">
        <x:v>Regional</x:v>
      </x:c>
      <x:c r="E995" s="8"/>
      <x:c r="F995" s="8"/>
    </x:row>
    <x:row r="996" ht="25" customHeight="1">
      <x:c r="A996" s="13" t="str">
        <x:v>☐</x:v>
      </x:c>
      <x:c r="B996" s="11" t="n">
        <x:v>725</x:v>
      </x:c>
      <x:c r="C996" s="15" t="e">
        <x:f>HYPERLINK("https://pokecottage.com/pokemon-master-sets/litten","Litten")</x:f>
        <x:v>HYPERLINK is not implemented. linkLocation=https://pokecottage.com/pokemon-master-sets/litten, friendlyName=Litten</x:v>
      </x:c>
      <x:c r="D996" s="7" t="str">
        <x:v>Gen 7 • Alola</x:v>
      </x:c>
      <x:c r="E996" s="7"/>
      <x:c r="F996" s="7"/>
    </x:row>
    <x:row r="997" ht="25" customHeight="1">
      <x:c r="A997" s="14" t="str">
        <x:v>☐</x:v>
      </x:c>
      <x:c r="B997" s="12" t="n">
        <x:v>726</x:v>
      </x:c>
      <x:c r="C997" s="16" t="e">
        <x:f>HYPERLINK("https://pokecottage.com/pokemon-master-sets/torracat","Torracat")</x:f>
        <x:v>HYPERLINK is not implemented. linkLocation=https://pokecottage.com/pokemon-master-sets/torracat, friendlyName=Torracat</x:v>
      </x:c>
      <x:c r="D997" s="8" t="str">
        <x:v>Gen 7 • Alola</x:v>
      </x:c>
      <x:c r="E997" s="8"/>
      <x:c r="F997" s="8"/>
    </x:row>
    <x:row r="998" ht="25" customHeight="1">
      <x:c r="A998" s="13" t="str">
        <x:v>☐</x:v>
      </x:c>
      <x:c r="B998" s="11" t="n">
        <x:v>727</x:v>
      </x:c>
      <x:c r="C998" s="15" t="e">
        <x:f>HYPERLINK("https://pokecottage.com/pokemon-master-sets/incineroar","Incineroar")</x:f>
        <x:v>HYPERLINK is not implemented. linkLocation=https://pokecottage.com/pokemon-master-sets/incineroar, friendlyName=Incineroar</x:v>
      </x:c>
      <x:c r="D998" s="7" t="str">
        <x:v>Gen 7 • Alola</x:v>
      </x:c>
      <x:c r="E998" s="7"/>
      <x:c r="F998" s="7"/>
    </x:row>
    <x:row r="999" ht="25" customHeight="1">
      <x:c r="A999" s="14" t="str">
        <x:v>☐</x:v>
      </x:c>
      <x:c r="B999" s="12" t="n">
        <x:v>728</x:v>
      </x:c>
      <x:c r="C999" s="16" t="e">
        <x:f>HYPERLINK("https://pokecottage.com/pokemon-master-sets/popplio","Popplio")</x:f>
        <x:v>HYPERLINK is not implemented. linkLocation=https://pokecottage.com/pokemon-master-sets/popplio, friendlyName=Popplio</x:v>
      </x:c>
      <x:c r="D999" s="8" t="str">
        <x:v>Gen 7 • Alola</x:v>
      </x:c>
      <x:c r="E999" s="8"/>
      <x:c r="F999" s="8"/>
    </x:row>
    <x:row r="1000" ht="25" customHeight="1">
      <x:c r="A1000" s="13" t="str">
        <x:v>☐</x:v>
      </x:c>
      <x:c r="B1000" s="11" t="n">
        <x:v>729</x:v>
      </x:c>
      <x:c r="C1000" s="15" t="e">
        <x:f>HYPERLINK("https://pokecottage.com/pokemon-master-sets/brionne","Brionne")</x:f>
        <x:v>HYPERLINK is not implemented. linkLocation=https://pokecottage.com/pokemon-master-sets/brionne, friendlyName=Brionne</x:v>
      </x:c>
      <x:c r="D1000" s="7" t="str">
        <x:v>Gen 7 • Alola</x:v>
      </x:c>
      <x:c r="E1000" s="7"/>
      <x:c r="F1000" s="7"/>
    </x:row>
    <x:row r="1001" ht="25" customHeight="1">
      <x:c r="A1001" s="14" t="str">
        <x:v>☐</x:v>
      </x:c>
      <x:c r="B1001" s="12" t="n">
        <x:v>730</x:v>
      </x:c>
      <x:c r="C1001" s="16" t="e">
        <x:f>HYPERLINK("https://pokecottage.com/pokemon-master-sets/primarina","Primarina")</x:f>
        <x:v>HYPERLINK is not implemented. linkLocation=https://pokecottage.com/pokemon-master-sets/primarina, friendlyName=Primarina</x:v>
      </x:c>
      <x:c r="D1001" s="8" t="str">
        <x:v>Gen 7 • Alola</x:v>
      </x:c>
      <x:c r="E1001" s="8"/>
      <x:c r="F1001" s="8"/>
    </x:row>
    <x:row r="1002" ht="25" customHeight="1">
      <x:c r="A1002" s="13" t="str">
        <x:v>☐</x:v>
      </x:c>
      <x:c r="B1002" s="11" t="n">
        <x:v>731</x:v>
      </x:c>
      <x:c r="C1002" s="15" t="e">
        <x:f>HYPERLINK("https://pokecottage.com/pokemon-master-sets/pikipek","Pikipek")</x:f>
        <x:v>HYPERLINK is not implemented. linkLocation=https://pokecottage.com/pokemon-master-sets/pikipek, friendlyName=Pikipek</x:v>
      </x:c>
      <x:c r="D1002" s="7" t="str">
        <x:v>Gen 7 • Alola</x:v>
      </x:c>
      <x:c r="E1002" s="7"/>
      <x:c r="F1002" s="7"/>
    </x:row>
    <x:row r="1003" ht="25" customHeight="1">
      <x:c r="A1003" s="14" t="str">
        <x:v>☐</x:v>
      </x:c>
      <x:c r="B1003" s="12" t="n">
        <x:v>732</x:v>
      </x:c>
      <x:c r="C1003" s="16" t="e">
        <x:f>HYPERLINK("https://pokecottage.com/pokemon-master-sets/trumbeak","Trumbeak")</x:f>
        <x:v>HYPERLINK is not implemented. linkLocation=https://pokecottage.com/pokemon-master-sets/trumbeak, friendlyName=Trumbeak</x:v>
      </x:c>
      <x:c r="D1003" s="8" t="str">
        <x:v>Gen 7 • Alola</x:v>
      </x:c>
      <x:c r="E1003" s="8"/>
      <x:c r="F1003" s="8"/>
    </x:row>
    <x:row r="1004" ht="25" customHeight="1">
      <x:c r="A1004" s="13" t="str">
        <x:v>☐</x:v>
      </x:c>
      <x:c r="B1004" s="11" t="n">
        <x:v>733</x:v>
      </x:c>
      <x:c r="C1004" s="15" t="e">
        <x:f>HYPERLINK("https://pokecottage.com/pokemon-master-sets/toucannon","Toucannon")</x:f>
        <x:v>HYPERLINK is not implemented. linkLocation=https://pokecottage.com/pokemon-master-sets/toucannon, friendlyName=Toucannon</x:v>
      </x:c>
      <x:c r="D1004" s="7" t="str">
        <x:v>Gen 7 • Alola</x:v>
      </x:c>
      <x:c r="E1004" s="7"/>
      <x:c r="F1004" s="7"/>
    </x:row>
    <x:row r="1005" ht="25" customHeight="1">
      <x:c r="A1005" s="14" t="str">
        <x:v>☐</x:v>
      </x:c>
      <x:c r="B1005" s="12" t="n">
        <x:v>734</x:v>
      </x:c>
      <x:c r="C1005" s="16" t="e">
        <x:f>HYPERLINK("https://pokecottage.com/pokemon-master-sets/yungoos","Yungoos")</x:f>
        <x:v>HYPERLINK is not implemented. linkLocation=https://pokecottage.com/pokemon-master-sets/yungoos, friendlyName=Yungoos</x:v>
      </x:c>
      <x:c r="D1005" s="8" t="str">
        <x:v>Gen 7 • Alola</x:v>
      </x:c>
      <x:c r="E1005" s="8"/>
      <x:c r="F1005" s="8"/>
    </x:row>
    <x:row r="1006" ht="25" customHeight="1">
      <x:c r="A1006" s="13" t="str">
        <x:v>☐</x:v>
      </x:c>
      <x:c r="B1006" s="11" t="n">
        <x:v>735</x:v>
      </x:c>
      <x:c r="C1006" s="15" t="e">
        <x:f>HYPERLINK("https://pokecottage.com/pokemon-master-sets/gumshoos","Gumshoos")</x:f>
        <x:v>HYPERLINK is not implemented. linkLocation=https://pokecottage.com/pokemon-master-sets/gumshoos, friendlyName=Gumshoos</x:v>
      </x:c>
      <x:c r="D1006" s="7" t="str">
        <x:v>Gen 7 • Alola</x:v>
      </x:c>
      <x:c r="E1006" s="7"/>
      <x:c r="F1006" s="7"/>
    </x:row>
    <x:row r="1007" ht="25" customHeight="1">
      <x:c r="A1007" s="14" t="str">
        <x:v>☐</x:v>
      </x:c>
      <x:c r="B1007" s="12" t="n">
        <x:v>736</x:v>
      </x:c>
      <x:c r="C1007" s="16" t="e">
        <x:f>HYPERLINK("https://pokecottage.com/pokemon-master-sets/grubbin","Grubbin")</x:f>
        <x:v>HYPERLINK is not implemented. linkLocation=https://pokecottage.com/pokemon-master-sets/grubbin, friendlyName=Grubbin</x:v>
      </x:c>
      <x:c r="D1007" s="8" t="str">
        <x:v>Gen 7 • Alola</x:v>
      </x:c>
      <x:c r="E1007" s="8"/>
      <x:c r="F1007" s="8"/>
    </x:row>
    <x:row r="1008" ht="25" customHeight="1">
      <x:c r="A1008" s="13" t="str">
        <x:v>☐</x:v>
      </x:c>
      <x:c r="B1008" s="11" t="n">
        <x:v>737</x:v>
      </x:c>
      <x:c r="C1008" s="15" t="e">
        <x:f>HYPERLINK("https://pokecottage.com/pokemon-master-sets/charjabug","Charjabug")</x:f>
        <x:v>HYPERLINK is not implemented. linkLocation=https://pokecottage.com/pokemon-master-sets/charjabug, friendlyName=Charjabug</x:v>
      </x:c>
      <x:c r="D1008" s="7" t="str">
        <x:v>Gen 7 • Alola</x:v>
      </x:c>
      <x:c r="E1008" s="7"/>
      <x:c r="F1008" s="7"/>
    </x:row>
    <x:row r="1009" ht="25" customHeight="1">
      <x:c r="A1009" s="14" t="str">
        <x:v>☐</x:v>
      </x:c>
      <x:c r="B1009" s="12" t="n">
        <x:v>738</x:v>
      </x:c>
      <x:c r="C1009" s="16" t="e">
        <x:f>HYPERLINK("https://pokecottage.com/pokemon-master-sets/vikavolt","Vikavolt")</x:f>
        <x:v>HYPERLINK is not implemented. linkLocation=https://pokecottage.com/pokemon-master-sets/vikavolt, friendlyName=Vikavolt</x:v>
      </x:c>
      <x:c r="D1009" s="8" t="str">
        <x:v>Gen 7 • Alola</x:v>
      </x:c>
      <x:c r="E1009" s="8"/>
      <x:c r="F1009" s="8"/>
    </x:row>
    <x:row r="1010" ht="25" customHeight="1">
      <x:c r="A1010" s="13" t="str">
        <x:v>☐</x:v>
      </x:c>
      <x:c r="B1010" s="11" t="n">
        <x:v>739</x:v>
      </x:c>
      <x:c r="C1010" s="15" t="e">
        <x:f>HYPERLINK("https://pokecottage.com/pokemon-master-sets/crabrawler","Crabrawler")</x:f>
        <x:v>HYPERLINK is not implemented. linkLocation=https://pokecottage.com/pokemon-master-sets/crabrawler, friendlyName=Crabrawler</x:v>
      </x:c>
      <x:c r="D1010" s="7" t="str">
        <x:v>Gen 7 • Alola</x:v>
      </x:c>
      <x:c r="E1010" s="7"/>
      <x:c r="F1010" s="7"/>
    </x:row>
    <x:row r="1011" ht="25" customHeight="1">
      <x:c r="A1011" s="14" t="str">
        <x:v>☐</x:v>
      </x:c>
      <x:c r="B1011" s="12" t="n">
        <x:v>740</x:v>
      </x:c>
      <x:c r="C1011" s="16" t="e">
        <x:f>HYPERLINK("https://pokecottage.com/pokemon-master-sets/crabominable","Crabominable")</x:f>
        <x:v>HYPERLINK is not implemented. linkLocation=https://pokecottage.com/pokemon-master-sets/crabominable, friendlyName=Crabominable</x:v>
      </x:c>
      <x:c r="D1011" s="8" t="str">
        <x:v>Gen 7 • Alola</x:v>
      </x:c>
      <x:c r="E1011" s="8"/>
      <x:c r="F1011" s="8"/>
    </x:row>
    <x:row r="1012" ht="25" customHeight="1">
      <x:c r="A1012" s="13" t="str">
        <x:v>☐</x:v>
      </x:c>
      <x:c r="B1012" s="11" t="n">
        <x:v>740</x:v>
      </x:c>
      <x:c r="C1012" s="15" t="e">
        <x:f>HYPERLINK("https://pokecottage.com/pokemon-master-sets/crabominable","Mega Crabominable")</x:f>
        <x:v>HYPERLINK is not implemented. linkLocation=https://pokecottage.com/pokemon-master-sets/crabominable, friendlyName=Mega Crabominable</x:v>
      </x:c>
      <x:c r="D1012" s="7" t="str">
        <x:v>Mega Evolution</x:v>
      </x:c>
      <x:c r="E1012" s="7"/>
      <x:c r="F1012" s="7"/>
    </x:row>
    <x:row r="1013" ht="25" customHeight="1">
      <x:c r="A1013" s="14" t="str">
        <x:v>☐</x:v>
      </x:c>
      <x:c r="B1013" s="12" t="n">
        <x:v>741</x:v>
      </x:c>
      <x:c r="C1013" s="16" t="e">
        <x:f>HYPERLINK("https://pokecottage.com/pokemon-master-sets/oricorio","Oricorio (Baile Style)")</x:f>
        <x:v>HYPERLINK is not implemented. linkLocation=https://pokecottage.com/pokemon-master-sets/oricorio, friendlyName=Oricorio (Baile Style)</x:v>
      </x:c>
      <x:c r="D1013" s="8" t="str">
        <x:v>Other Form</x:v>
      </x:c>
      <x:c r="E1013" s="8"/>
      <x:c r="F1013" s="8"/>
    </x:row>
    <x:row r="1014" ht="25" customHeight="1">
      <x:c r="A1014" s="13" t="str">
        <x:v>☐</x:v>
      </x:c>
      <x:c r="B1014" s="11" t="n">
        <x:v>741</x:v>
      </x:c>
      <x:c r="C1014" s="15" t="e">
        <x:f>HYPERLINK("https://pokecottage.com/pokemon-master-sets/oricorio","Oricorio (Pom-Pom Style)")</x:f>
        <x:v>HYPERLINK is not implemented. linkLocation=https://pokecottage.com/pokemon-master-sets/oricorio, friendlyName=Oricorio (Pom-Pom Style)</x:v>
      </x:c>
      <x:c r="D1014" s="7" t="str">
        <x:v>Other Form</x:v>
      </x:c>
      <x:c r="E1014" s="7"/>
      <x:c r="F1014" s="7"/>
    </x:row>
    <x:row r="1015" ht="25" customHeight="1">
      <x:c r="A1015" s="14" t="str">
        <x:v>☐</x:v>
      </x:c>
      <x:c r="B1015" s="12" t="n">
        <x:v>741</x:v>
      </x:c>
      <x:c r="C1015" s="16" t="e">
        <x:f>HYPERLINK("https://pokecottage.com/pokemon-master-sets/oricorio","Oricorio (Pa'u Style)")</x:f>
        <x:v>HYPERLINK is not implemented. linkLocation=https://pokecottage.com/pokemon-master-sets/oricorio, friendlyName=Oricorio (Pa'u Style)</x:v>
      </x:c>
      <x:c r="D1015" s="8" t="str">
        <x:v>Other Form</x:v>
      </x:c>
      <x:c r="E1015" s="8"/>
      <x:c r="F1015" s="8"/>
    </x:row>
    <x:row r="1016" ht="25" customHeight="1">
      <x:c r="A1016" s="13" t="str">
        <x:v>☐</x:v>
      </x:c>
      <x:c r="B1016" s="11" t="n">
        <x:v>741</x:v>
      </x:c>
      <x:c r="C1016" s="15" t="e">
        <x:f>HYPERLINK("https://pokecottage.com/pokemon-master-sets/oricorio","Oricorio (Sensu Style)")</x:f>
        <x:v>HYPERLINK is not implemented. linkLocation=https://pokecottage.com/pokemon-master-sets/oricorio, friendlyName=Oricorio (Sensu Style)</x:v>
      </x:c>
      <x:c r="D1016" s="7" t="str">
        <x:v>Other Form</x:v>
      </x:c>
      <x:c r="E1016" s="7"/>
      <x:c r="F1016" s="7"/>
    </x:row>
    <x:row r="1017" ht="25" customHeight="1">
      <x:c r="A1017" s="14" t="str">
        <x:v>☐</x:v>
      </x:c>
      <x:c r="B1017" s="12" t="n">
        <x:v>742</x:v>
      </x:c>
      <x:c r="C1017" s="16" t="e">
        <x:f>HYPERLINK("https://pokecottage.com/pokemon-master-sets/cutiefly","Cutiefly")</x:f>
        <x:v>HYPERLINK is not implemented. linkLocation=https://pokecottage.com/pokemon-master-sets/cutiefly, friendlyName=Cutiefly</x:v>
      </x:c>
      <x:c r="D1017" s="8" t="str">
        <x:v>Gen 7 • Alola</x:v>
      </x:c>
      <x:c r="E1017" s="8"/>
      <x:c r="F1017" s="8"/>
    </x:row>
    <x:row r="1018" ht="25" customHeight="1">
      <x:c r="A1018" s="13" t="str">
        <x:v>☐</x:v>
      </x:c>
      <x:c r="B1018" s="11" t="n">
        <x:v>743</x:v>
      </x:c>
      <x:c r="C1018" s="15" t="e">
        <x:f>HYPERLINK("https://pokecottage.com/pokemon-master-sets/ribombee","Ribombee")</x:f>
        <x:v>HYPERLINK is not implemented. linkLocation=https://pokecottage.com/pokemon-master-sets/ribombee, friendlyName=Ribombee</x:v>
      </x:c>
      <x:c r="D1018" s="7" t="str">
        <x:v>Gen 7 • Alola</x:v>
      </x:c>
      <x:c r="E1018" s="7"/>
      <x:c r="F1018" s="7"/>
    </x:row>
    <x:row r="1019" ht="25" customHeight="1">
      <x:c r="A1019" s="14" t="str">
        <x:v>☐</x:v>
      </x:c>
      <x:c r="B1019" s="12" t="n">
        <x:v>744</x:v>
      </x:c>
      <x:c r="C1019" s="16" t="e">
        <x:f>HYPERLINK("https://pokecottage.com/pokemon-master-sets/rockruff","Rockruff")</x:f>
        <x:v>HYPERLINK is not implemented. linkLocation=https://pokecottage.com/pokemon-master-sets/rockruff, friendlyName=Rockruff</x:v>
      </x:c>
      <x:c r="D1019" s="8" t="str">
        <x:v>Gen 7 • Alola</x:v>
      </x:c>
      <x:c r="E1019" s="8"/>
      <x:c r="F1019" s="8"/>
    </x:row>
    <x:row r="1020" ht="25" customHeight="1">
      <x:c r="A1020" s="13" t="str">
        <x:v>☐</x:v>
      </x:c>
      <x:c r="B1020" s="11" t="n">
        <x:v>745</x:v>
      </x:c>
      <x:c r="C1020" s="15" t="e">
        <x:f>HYPERLINK("https://pokecottage.com/pokemon-master-sets/lycanroc","Lycanroc (Midday Form)")</x:f>
        <x:v>HYPERLINK is not implemented. linkLocation=https://pokecottage.com/pokemon-master-sets/lycanroc, friendlyName=Lycanroc (Midday Form)</x:v>
      </x:c>
      <x:c r="D1020" s="7" t="str">
        <x:v>Other Form</x:v>
      </x:c>
      <x:c r="E1020" s="7"/>
      <x:c r="F1020" s="7"/>
    </x:row>
    <x:row r="1021" ht="25" customHeight="1">
      <x:c r="A1021" s="14" t="str">
        <x:v>☐</x:v>
      </x:c>
      <x:c r="B1021" s="12" t="n">
        <x:v>745</x:v>
      </x:c>
      <x:c r="C1021" s="16" t="e">
        <x:f>HYPERLINK("https://pokecottage.com/pokemon-master-sets/lycanroc","Lycanroc (Midnight Form)")</x:f>
        <x:v>HYPERLINK is not implemented. linkLocation=https://pokecottage.com/pokemon-master-sets/lycanroc, friendlyName=Lycanroc (Midnight Form)</x:v>
      </x:c>
      <x:c r="D1021" s="8" t="str">
        <x:v>Other Form</x:v>
      </x:c>
      <x:c r="E1021" s="8"/>
      <x:c r="F1021" s="8"/>
    </x:row>
    <x:row r="1022" ht="25" customHeight="1">
      <x:c r="A1022" s="13" t="str">
        <x:v>☐</x:v>
      </x:c>
      <x:c r="B1022" s="11" t="n">
        <x:v>745</x:v>
      </x:c>
      <x:c r="C1022" s="15" t="e">
        <x:f>HYPERLINK("https://pokecottage.com/pokemon-master-sets/lycanroc","Lycanroc (Dusk Form)")</x:f>
        <x:v>HYPERLINK is not implemented. linkLocation=https://pokecottage.com/pokemon-master-sets/lycanroc, friendlyName=Lycanroc (Dusk Form)</x:v>
      </x:c>
      <x:c r="D1022" s="7" t="str">
        <x:v>Other Form</x:v>
      </x:c>
      <x:c r="E1022" s="7"/>
      <x:c r="F1022" s="7"/>
    </x:row>
    <x:row r="1023" ht="25" customHeight="1">
      <x:c r="A1023" s="14" t="str">
        <x:v>☐</x:v>
      </x:c>
      <x:c r="B1023" s="12" t="n">
        <x:v>746</x:v>
      </x:c>
      <x:c r="C1023" s="16" t="e">
        <x:f>HYPERLINK("https://pokecottage.com/pokemon-master-sets/wishiwashi","Wishiwashi (Solo Form)")</x:f>
        <x:v>HYPERLINK is not implemented. linkLocation=https://pokecottage.com/pokemon-master-sets/wishiwashi, friendlyName=Wishiwashi (Solo Form)</x:v>
      </x:c>
      <x:c r="D1023" s="8" t="str">
        <x:v>Other Form</x:v>
      </x:c>
      <x:c r="E1023" s="8"/>
      <x:c r="F1023" s="8"/>
    </x:row>
    <x:row r="1024" ht="25" customHeight="1">
      <x:c r="A1024" s="13" t="str">
        <x:v>☐</x:v>
      </x:c>
      <x:c r="B1024" s="11" t="n">
        <x:v>746</x:v>
      </x:c>
      <x:c r="C1024" s="15" t="e">
        <x:f>HYPERLINK("https://pokecottage.com/pokemon-master-sets/wishiwashi","Wishiwashi (School Form)")</x:f>
        <x:v>HYPERLINK is not implemented. linkLocation=https://pokecottage.com/pokemon-master-sets/wishiwashi, friendlyName=Wishiwashi (School Form)</x:v>
      </x:c>
      <x:c r="D1024" s="7" t="str">
        <x:v>Other Form</x:v>
      </x:c>
      <x:c r="E1024" s="7"/>
      <x:c r="F1024" s="7"/>
    </x:row>
    <x:row r="1025" ht="25" customHeight="1">
      <x:c r="A1025" s="14" t="str">
        <x:v>☐</x:v>
      </x:c>
      <x:c r="B1025" s="12" t="n">
        <x:v>747</x:v>
      </x:c>
      <x:c r="C1025" s="16" t="e">
        <x:f>HYPERLINK("https://pokecottage.com/pokemon-master-sets/mareanie","Mareanie")</x:f>
        <x:v>HYPERLINK is not implemented. linkLocation=https://pokecottage.com/pokemon-master-sets/mareanie, friendlyName=Mareanie</x:v>
      </x:c>
      <x:c r="D1025" s="8" t="str">
        <x:v>Gen 7 • Alola</x:v>
      </x:c>
      <x:c r="E1025" s="8"/>
      <x:c r="F1025" s="8"/>
    </x:row>
    <x:row r="1026" ht="25" customHeight="1">
      <x:c r="A1026" s="13" t="str">
        <x:v>☐</x:v>
      </x:c>
      <x:c r="B1026" s="11" t="n">
        <x:v>748</x:v>
      </x:c>
      <x:c r="C1026" s="15" t="e">
        <x:f>HYPERLINK("https://pokecottage.com/pokemon-master-sets/toxapex","Toxapex")</x:f>
        <x:v>HYPERLINK is not implemented. linkLocation=https://pokecottage.com/pokemon-master-sets/toxapex, friendlyName=Toxapex</x:v>
      </x:c>
      <x:c r="D1026" s="7" t="str">
        <x:v>Gen 7 • Alola</x:v>
      </x:c>
      <x:c r="E1026" s="7"/>
      <x:c r="F1026" s="7"/>
    </x:row>
    <x:row r="1027" ht="25" customHeight="1">
      <x:c r="A1027" s="14" t="str">
        <x:v>☐</x:v>
      </x:c>
      <x:c r="B1027" s="12" t="n">
        <x:v>749</x:v>
      </x:c>
      <x:c r="C1027" s="16" t="e">
        <x:f>HYPERLINK("https://pokecottage.com/pokemon-master-sets/mudbray","Mudbray")</x:f>
        <x:v>HYPERLINK is not implemented. linkLocation=https://pokecottage.com/pokemon-master-sets/mudbray, friendlyName=Mudbray</x:v>
      </x:c>
      <x:c r="D1027" s="8" t="str">
        <x:v>Gen 7 • Alola</x:v>
      </x:c>
      <x:c r="E1027" s="8"/>
      <x:c r="F1027" s="8"/>
    </x:row>
    <x:row r="1028" ht="25" customHeight="1">
      <x:c r="A1028" s="13" t="str">
        <x:v>☐</x:v>
      </x:c>
      <x:c r="B1028" s="11" t="n">
        <x:v>750</x:v>
      </x:c>
      <x:c r="C1028" s="15" t="e">
        <x:f>HYPERLINK("https://pokecottage.com/pokemon-master-sets/mudsdale","Mudsdale")</x:f>
        <x:v>HYPERLINK is not implemented. linkLocation=https://pokecottage.com/pokemon-master-sets/mudsdale, friendlyName=Mudsdale</x:v>
      </x:c>
      <x:c r="D1028" s="7" t="str">
        <x:v>Gen 7 • Alola</x:v>
      </x:c>
      <x:c r="E1028" s="7"/>
      <x:c r="F1028" s="7"/>
    </x:row>
    <x:row r="1029" ht="25" customHeight="1">
      <x:c r="A1029" s="14" t="str">
        <x:v>☐</x:v>
      </x:c>
      <x:c r="B1029" s="12" t="n">
        <x:v>751</x:v>
      </x:c>
      <x:c r="C1029" s="16" t="e">
        <x:f>HYPERLINK("https://pokecottage.com/pokemon-master-sets/dewpider","Dewpider")</x:f>
        <x:v>HYPERLINK is not implemented. linkLocation=https://pokecottage.com/pokemon-master-sets/dewpider, friendlyName=Dewpider</x:v>
      </x:c>
      <x:c r="D1029" s="8" t="str">
        <x:v>Gen 7 • Alola</x:v>
      </x:c>
      <x:c r="E1029" s="8"/>
      <x:c r="F1029" s="8"/>
    </x:row>
    <x:row r="1030" ht="25" customHeight="1">
      <x:c r="A1030" s="13" t="str">
        <x:v>☐</x:v>
      </x:c>
      <x:c r="B1030" s="11" t="n">
        <x:v>752</x:v>
      </x:c>
      <x:c r="C1030" s="15" t="e">
        <x:f>HYPERLINK("https://pokecottage.com/pokemon-master-sets/araquanid","Araquanid")</x:f>
        <x:v>HYPERLINK is not implemented. linkLocation=https://pokecottage.com/pokemon-master-sets/araquanid, friendlyName=Araquanid</x:v>
      </x:c>
      <x:c r="D1030" s="7" t="str">
        <x:v>Gen 7 • Alola</x:v>
      </x:c>
      <x:c r="E1030" s="7"/>
      <x:c r="F1030" s="7"/>
    </x:row>
    <x:row r="1031" ht="25" customHeight="1">
      <x:c r="A1031" s="14" t="str">
        <x:v>☐</x:v>
      </x:c>
      <x:c r="B1031" s="12" t="n">
        <x:v>753</x:v>
      </x:c>
      <x:c r="C1031" s="16" t="e">
        <x:f>HYPERLINK("https://pokecottage.com/pokemon-master-sets/fomantis","Fomantis")</x:f>
        <x:v>HYPERLINK is not implemented. linkLocation=https://pokecottage.com/pokemon-master-sets/fomantis, friendlyName=Fomantis</x:v>
      </x:c>
      <x:c r="D1031" s="8" t="str">
        <x:v>Gen 7 • Alola</x:v>
      </x:c>
      <x:c r="E1031" s="8"/>
      <x:c r="F1031" s="8"/>
    </x:row>
    <x:row r="1032" ht="25" customHeight="1">
      <x:c r="A1032" s="13" t="str">
        <x:v>☐</x:v>
      </x:c>
      <x:c r="B1032" s="11" t="n">
        <x:v>754</x:v>
      </x:c>
      <x:c r="C1032" s="15" t="e">
        <x:f>HYPERLINK("https://pokecottage.com/pokemon-master-sets/lurantis","Lurantis")</x:f>
        <x:v>HYPERLINK is not implemented. linkLocation=https://pokecottage.com/pokemon-master-sets/lurantis, friendlyName=Lurantis</x:v>
      </x:c>
      <x:c r="D1032" s="7" t="str">
        <x:v>Gen 7 • Alola</x:v>
      </x:c>
      <x:c r="E1032" s="7"/>
      <x:c r="F1032" s="7"/>
    </x:row>
    <x:row r="1033" ht="25" customHeight="1">
      <x:c r="A1033" s="14" t="str">
        <x:v>☐</x:v>
      </x:c>
      <x:c r="B1033" s="12" t="n">
        <x:v>755</x:v>
      </x:c>
      <x:c r="C1033" s="16" t="e">
        <x:f>HYPERLINK("https://pokecottage.com/pokemon-master-sets/morelull","Morelull")</x:f>
        <x:v>HYPERLINK is not implemented. linkLocation=https://pokecottage.com/pokemon-master-sets/morelull, friendlyName=Morelull</x:v>
      </x:c>
      <x:c r="D1033" s="8" t="str">
        <x:v>Gen 7 • Alola</x:v>
      </x:c>
      <x:c r="E1033" s="8"/>
      <x:c r="F1033" s="8"/>
    </x:row>
    <x:row r="1034" ht="25" customHeight="1">
      <x:c r="A1034" s="13" t="str">
        <x:v>☐</x:v>
      </x:c>
      <x:c r="B1034" s="11" t="n">
        <x:v>756</x:v>
      </x:c>
      <x:c r="C1034" s="15" t="e">
        <x:f>HYPERLINK("https://pokecottage.com/pokemon-master-sets/shiinotic","Shiinotic")</x:f>
        <x:v>HYPERLINK is not implemented. linkLocation=https://pokecottage.com/pokemon-master-sets/shiinotic, friendlyName=Shiinotic</x:v>
      </x:c>
      <x:c r="D1034" s="7" t="str">
        <x:v>Gen 7 • Alola</x:v>
      </x:c>
      <x:c r="E1034" s="7"/>
      <x:c r="F1034" s="7"/>
    </x:row>
    <x:row r="1035" ht="25" customHeight="1">
      <x:c r="A1035" s="14" t="str">
        <x:v>☐</x:v>
      </x:c>
      <x:c r="B1035" s="12" t="n">
        <x:v>757</x:v>
      </x:c>
      <x:c r="C1035" s="16" t="e">
        <x:f>HYPERLINK("https://pokecottage.com/pokemon-master-sets/salandit","Salandit")</x:f>
        <x:v>HYPERLINK is not implemented. linkLocation=https://pokecottage.com/pokemon-master-sets/salandit, friendlyName=Salandit</x:v>
      </x:c>
      <x:c r="D1035" s="8" t="str">
        <x:v>Gen 7 • Alola</x:v>
      </x:c>
      <x:c r="E1035" s="8"/>
      <x:c r="F1035" s="8"/>
    </x:row>
    <x:row r="1036" ht="25" customHeight="1">
      <x:c r="A1036" s="13" t="str">
        <x:v>☐</x:v>
      </x:c>
      <x:c r="B1036" s="11" t="n">
        <x:v>758</x:v>
      </x:c>
      <x:c r="C1036" s="15" t="e">
        <x:f>HYPERLINK("https://pokecottage.com/pokemon-master-sets/salazzle","Salazzle")</x:f>
        <x:v>HYPERLINK is not implemented. linkLocation=https://pokecottage.com/pokemon-master-sets/salazzle, friendlyName=Salazzle</x:v>
      </x:c>
      <x:c r="D1036" s="7" t="str">
        <x:v>Gen 7 • Alola</x:v>
      </x:c>
      <x:c r="E1036" s="7"/>
      <x:c r="F1036" s="7"/>
    </x:row>
    <x:row r="1037" ht="25" customHeight="1">
      <x:c r="A1037" s="14" t="str">
        <x:v>☐</x:v>
      </x:c>
      <x:c r="B1037" s="12" t="n">
        <x:v>759</x:v>
      </x:c>
      <x:c r="C1037" s="16" t="e">
        <x:f>HYPERLINK("https://pokecottage.com/pokemon-master-sets/stufful","Stufful")</x:f>
        <x:v>HYPERLINK is not implemented. linkLocation=https://pokecottage.com/pokemon-master-sets/stufful, friendlyName=Stufful</x:v>
      </x:c>
      <x:c r="D1037" s="8" t="str">
        <x:v>Gen 7 • Alola</x:v>
      </x:c>
      <x:c r="E1037" s="8"/>
      <x:c r="F1037" s="8"/>
    </x:row>
    <x:row r="1038" ht="25" customHeight="1">
      <x:c r="A1038" s="13" t="str">
        <x:v>☐</x:v>
      </x:c>
      <x:c r="B1038" s="11" t="n">
        <x:v>760</x:v>
      </x:c>
      <x:c r="C1038" s="15" t="e">
        <x:f>HYPERLINK("https://pokecottage.com/pokemon-master-sets/bewear","Bewear")</x:f>
        <x:v>HYPERLINK is not implemented. linkLocation=https://pokecottage.com/pokemon-master-sets/bewear, friendlyName=Bewear</x:v>
      </x:c>
      <x:c r="D1038" s="7" t="str">
        <x:v>Gen 7 • Alola</x:v>
      </x:c>
      <x:c r="E1038" s="7"/>
      <x:c r="F1038" s="7"/>
    </x:row>
    <x:row r="1039" ht="25" customHeight="1">
      <x:c r="A1039" s="14" t="str">
        <x:v>☐</x:v>
      </x:c>
      <x:c r="B1039" s="12" t="n">
        <x:v>761</x:v>
      </x:c>
      <x:c r="C1039" s="16" t="e">
        <x:f>HYPERLINK("https://pokecottage.com/pokemon-master-sets/bounsweet","Bounsweet")</x:f>
        <x:v>HYPERLINK is not implemented. linkLocation=https://pokecottage.com/pokemon-master-sets/bounsweet, friendlyName=Bounsweet</x:v>
      </x:c>
      <x:c r="D1039" s="8" t="str">
        <x:v>Gen 7 • Alola</x:v>
      </x:c>
      <x:c r="E1039" s="8"/>
      <x:c r="F1039" s="8"/>
    </x:row>
    <x:row r="1040" ht="25" customHeight="1">
      <x:c r="A1040" s="13" t="str">
        <x:v>☐</x:v>
      </x:c>
      <x:c r="B1040" s="11" t="n">
        <x:v>762</x:v>
      </x:c>
      <x:c r="C1040" s="15" t="e">
        <x:f>HYPERLINK("https://pokecottage.com/pokemon-master-sets/steenee","Steenee")</x:f>
        <x:v>HYPERLINK is not implemented. linkLocation=https://pokecottage.com/pokemon-master-sets/steenee, friendlyName=Steenee</x:v>
      </x:c>
      <x:c r="D1040" s="7" t="str">
        <x:v>Gen 7 • Alola</x:v>
      </x:c>
      <x:c r="E1040" s="7"/>
      <x:c r="F1040" s="7"/>
    </x:row>
    <x:row r="1041" ht="25" customHeight="1">
      <x:c r="A1041" s="14" t="str">
        <x:v>☐</x:v>
      </x:c>
      <x:c r="B1041" s="12" t="n">
        <x:v>763</x:v>
      </x:c>
      <x:c r="C1041" s="16" t="e">
        <x:f>HYPERLINK("https://pokecottage.com/pokemon-master-sets/tsareena","Tsareena")</x:f>
        <x:v>HYPERLINK is not implemented. linkLocation=https://pokecottage.com/pokemon-master-sets/tsareena, friendlyName=Tsareena</x:v>
      </x:c>
      <x:c r="D1041" s="8" t="str">
        <x:v>Gen 7 • Alola</x:v>
      </x:c>
      <x:c r="E1041" s="8"/>
      <x:c r="F1041" s="8"/>
    </x:row>
    <x:row r="1042" ht="25" customHeight="1">
      <x:c r="A1042" s="13" t="str">
        <x:v>☐</x:v>
      </x:c>
      <x:c r="B1042" s="11" t="n">
        <x:v>764</x:v>
      </x:c>
      <x:c r="C1042" s="15" t="e">
        <x:f>HYPERLINK("https://pokecottage.com/pokemon-master-sets/comfey","Comfey")</x:f>
        <x:v>HYPERLINK is not implemented. linkLocation=https://pokecottage.com/pokemon-master-sets/comfey, friendlyName=Comfey</x:v>
      </x:c>
      <x:c r="D1042" s="7" t="str">
        <x:v>Gen 7 • Alola</x:v>
      </x:c>
      <x:c r="E1042" s="7"/>
      <x:c r="F1042" s="7"/>
    </x:row>
    <x:row r="1043" ht="25" customHeight="1">
      <x:c r="A1043" s="14" t="str">
        <x:v>☐</x:v>
      </x:c>
      <x:c r="B1043" s="12" t="n">
        <x:v>765</x:v>
      </x:c>
      <x:c r="C1043" s="16" t="e">
        <x:f>HYPERLINK("https://pokecottage.com/pokemon-master-sets/oranguru","Oranguru")</x:f>
        <x:v>HYPERLINK is not implemented. linkLocation=https://pokecottage.com/pokemon-master-sets/oranguru, friendlyName=Oranguru</x:v>
      </x:c>
      <x:c r="D1043" s="8" t="str">
        <x:v>Gen 7 • Alola</x:v>
      </x:c>
      <x:c r="E1043" s="8"/>
      <x:c r="F1043" s="8"/>
    </x:row>
    <x:row r="1044" ht="25" customHeight="1">
      <x:c r="A1044" s="13" t="str">
        <x:v>☐</x:v>
      </x:c>
      <x:c r="B1044" s="11" t="n">
        <x:v>766</x:v>
      </x:c>
      <x:c r="C1044" s="15" t="e">
        <x:f>HYPERLINK("https://pokecottage.com/pokemon-master-sets/passimian","Passimian")</x:f>
        <x:v>HYPERLINK is not implemented. linkLocation=https://pokecottage.com/pokemon-master-sets/passimian, friendlyName=Passimian</x:v>
      </x:c>
      <x:c r="D1044" s="7" t="str">
        <x:v>Gen 7 • Alola</x:v>
      </x:c>
      <x:c r="E1044" s="7"/>
      <x:c r="F1044" s="7"/>
    </x:row>
    <x:row r="1045" ht="25" customHeight="1">
      <x:c r="A1045" s="14" t="str">
        <x:v>☐</x:v>
      </x:c>
      <x:c r="B1045" s="12" t="n">
        <x:v>767</x:v>
      </x:c>
      <x:c r="C1045" s="16" t="e">
        <x:f>HYPERLINK("https://pokecottage.com/pokemon-master-sets/wimpod","Wimpod")</x:f>
        <x:v>HYPERLINK is not implemented. linkLocation=https://pokecottage.com/pokemon-master-sets/wimpod, friendlyName=Wimpod</x:v>
      </x:c>
      <x:c r="D1045" s="8" t="str">
        <x:v>Gen 7 • Alola</x:v>
      </x:c>
      <x:c r="E1045" s="8"/>
      <x:c r="F1045" s="8"/>
    </x:row>
    <x:row r="1046" ht="25" customHeight="1">
      <x:c r="A1046" s="13" t="str">
        <x:v>☐</x:v>
      </x:c>
      <x:c r="B1046" s="11" t="n">
        <x:v>768</x:v>
      </x:c>
      <x:c r="C1046" s="15" t="e">
        <x:f>HYPERLINK("https://pokecottage.com/pokemon-master-sets/golisopod","Golisopod")</x:f>
        <x:v>HYPERLINK is not implemented. linkLocation=https://pokecottage.com/pokemon-master-sets/golisopod, friendlyName=Golisopod</x:v>
      </x:c>
      <x:c r="D1046" s="7" t="str">
        <x:v>Gen 7 • Alola</x:v>
      </x:c>
      <x:c r="E1046" s="7"/>
      <x:c r="F1046" s="7"/>
    </x:row>
    <x:row r="1047" ht="25" customHeight="1">
      <x:c r="A1047" s="14" t="str">
        <x:v>☐</x:v>
      </x:c>
      <x:c r="B1047" s="12" t="n">
        <x:v>768</x:v>
      </x:c>
      <x:c r="C1047" s="16" t="e">
        <x:f>HYPERLINK("https://pokecottage.com/pokemon-master-sets/golisopod","Mega Golisopod")</x:f>
        <x:v>HYPERLINK is not implemented. linkLocation=https://pokecottage.com/pokemon-master-sets/golisopod, friendlyName=Mega Golisopod</x:v>
      </x:c>
      <x:c r="D1047" s="8" t="str">
        <x:v>Mega Evolution</x:v>
      </x:c>
      <x:c r="E1047" s="8"/>
      <x:c r="F1047" s="8"/>
    </x:row>
    <x:row r="1048" ht="25" customHeight="1">
      <x:c r="A1048" s="13" t="str">
        <x:v>☐</x:v>
      </x:c>
      <x:c r="B1048" s="11" t="n">
        <x:v>769</x:v>
      </x:c>
      <x:c r="C1048" s="15" t="e">
        <x:f>HYPERLINK("https://pokecottage.com/pokemon-master-sets/sandygast","Sandygast")</x:f>
        <x:v>HYPERLINK is not implemented. linkLocation=https://pokecottage.com/pokemon-master-sets/sandygast, friendlyName=Sandygast</x:v>
      </x:c>
      <x:c r="D1048" s="7" t="str">
        <x:v>Gen 7 • Alola</x:v>
      </x:c>
      <x:c r="E1048" s="7"/>
      <x:c r="F1048" s="7"/>
    </x:row>
    <x:row r="1049" ht="25" customHeight="1">
      <x:c r="A1049" s="14" t="str">
        <x:v>☐</x:v>
      </x:c>
      <x:c r="B1049" s="12" t="n">
        <x:v>770</x:v>
      </x:c>
      <x:c r="C1049" s="16" t="e">
        <x:f>HYPERLINK("https://pokecottage.com/pokemon-master-sets/palossand","Palossand")</x:f>
        <x:v>HYPERLINK is not implemented. linkLocation=https://pokecottage.com/pokemon-master-sets/palossand, friendlyName=Palossand</x:v>
      </x:c>
      <x:c r="D1049" s="8" t="str">
        <x:v>Gen 7 • Alola</x:v>
      </x:c>
      <x:c r="E1049" s="8"/>
      <x:c r="F1049" s="8"/>
    </x:row>
    <x:row r="1050" ht="25" customHeight="1">
      <x:c r="A1050" s="13" t="str">
        <x:v>☐</x:v>
      </x:c>
      <x:c r="B1050" s="11" t="n">
        <x:v>771</x:v>
      </x:c>
      <x:c r="C1050" s="15" t="e">
        <x:f>HYPERLINK("https://pokecottage.com/pokemon-master-sets/pyukumuku","Pyukumuku")</x:f>
        <x:v>HYPERLINK is not implemented. linkLocation=https://pokecottage.com/pokemon-master-sets/pyukumuku, friendlyName=Pyukumuku</x:v>
      </x:c>
      <x:c r="D1050" s="7" t="str">
        <x:v>Gen 7 • Alola</x:v>
      </x:c>
      <x:c r="E1050" s="7"/>
      <x:c r="F1050" s="7"/>
    </x:row>
    <x:row r="1051" ht="25" customHeight="1">
      <x:c r="A1051" s="14" t="str">
        <x:v>☐</x:v>
      </x:c>
      <x:c r="B1051" s="12" t="n">
        <x:v>772</x:v>
      </x:c>
      <x:c r="C1051" s="16" t="e">
        <x:f>HYPERLINK("https://pokecottage.com/pokemon-master-sets/type-null","Type: Null")</x:f>
        <x:v>HYPERLINK is not implemented. linkLocation=https://pokecottage.com/pokemon-master-sets/type-null, friendlyName=Type: Null</x:v>
      </x:c>
      <x:c r="D1051" s="8" t="str">
        <x:v>Gen 7 • Alola</x:v>
      </x:c>
      <x:c r="E1051" s="8"/>
      <x:c r="F1051" s="8"/>
    </x:row>
    <x:row r="1052" ht="25" customHeight="1">
      <x:c r="A1052" s="13" t="str">
        <x:v>☐</x:v>
      </x:c>
      <x:c r="B1052" s="11" t="n">
        <x:v>773</x:v>
      </x:c>
      <x:c r="C1052" s="15" t="e">
        <x:f>HYPERLINK("https://pokecottage.com/pokemon-master-sets/silvally","Silvally")</x:f>
        <x:v>HYPERLINK is not implemented. linkLocation=https://pokecottage.com/pokemon-master-sets/silvally, friendlyName=Silvally</x:v>
      </x:c>
      <x:c r="D1052" s="7" t="str">
        <x:v>Gen 7 • Alola</x:v>
      </x:c>
      <x:c r="E1052" s="7"/>
      <x:c r="F1052" s="7"/>
    </x:row>
    <x:row r="1053" ht="25" customHeight="1">
      <x:c r="A1053" s="14" t="str">
        <x:v>☐</x:v>
      </x:c>
      <x:c r="B1053" s="12" t="n">
        <x:v>774</x:v>
      </x:c>
      <x:c r="C1053" s="16" t="e">
        <x:f>HYPERLINK("https://pokecottage.com/pokemon-master-sets/minior","Minior")</x:f>
        <x:v>HYPERLINK is not implemented. linkLocation=https://pokecottage.com/pokemon-master-sets/minior, friendlyName=Minior</x:v>
      </x:c>
      <x:c r="D1053" s="8" t="str">
        <x:v>Gen 7 • Alola</x:v>
      </x:c>
      <x:c r="E1053" s="8"/>
      <x:c r="F1053" s="8"/>
    </x:row>
    <x:row r="1054" ht="25" customHeight="1">
      <x:c r="A1054" s="13" t="str">
        <x:v>☐</x:v>
      </x:c>
      <x:c r="B1054" s="11" t="n">
        <x:v>775</x:v>
      </x:c>
      <x:c r="C1054" s="15" t="e">
        <x:f>HYPERLINK("https://pokecottage.com/pokemon-master-sets/komala","Komala")</x:f>
        <x:v>HYPERLINK is not implemented. linkLocation=https://pokecottage.com/pokemon-master-sets/komala, friendlyName=Komala</x:v>
      </x:c>
      <x:c r="D1054" s="7" t="str">
        <x:v>Gen 7 • Alola</x:v>
      </x:c>
      <x:c r="E1054" s="7"/>
      <x:c r="F1054" s="7"/>
    </x:row>
    <x:row r="1055" ht="25" customHeight="1">
      <x:c r="A1055" s="14" t="str">
        <x:v>☐</x:v>
      </x:c>
      <x:c r="B1055" s="12" t="n">
        <x:v>776</x:v>
      </x:c>
      <x:c r="C1055" s="16" t="e">
        <x:f>HYPERLINK("https://pokecottage.com/pokemon-master-sets/turtonator","Turtonator")</x:f>
        <x:v>HYPERLINK is not implemented. linkLocation=https://pokecottage.com/pokemon-master-sets/turtonator, friendlyName=Turtonator</x:v>
      </x:c>
      <x:c r="D1055" s="8" t="str">
        <x:v>Gen 7 • Alola</x:v>
      </x:c>
      <x:c r="E1055" s="8"/>
      <x:c r="F1055" s="8"/>
    </x:row>
    <x:row r="1056" ht="25" customHeight="1">
      <x:c r="A1056" s="13" t="str">
        <x:v>☐</x:v>
      </x:c>
      <x:c r="B1056" s="11" t="n">
        <x:v>777</x:v>
      </x:c>
      <x:c r="C1056" s="15" t="e">
        <x:f>HYPERLINK("https://pokecottage.com/pokemon-master-sets/togedemaru","Togedemaru")</x:f>
        <x:v>HYPERLINK is not implemented. linkLocation=https://pokecottage.com/pokemon-master-sets/togedemaru, friendlyName=Togedemaru</x:v>
      </x:c>
      <x:c r="D1056" s="7" t="str">
        <x:v>Gen 7 • Alola</x:v>
      </x:c>
      <x:c r="E1056" s="7"/>
      <x:c r="F1056" s="7"/>
    </x:row>
    <x:row r="1057" ht="25" customHeight="1">
      <x:c r="A1057" s="14" t="str">
        <x:v>☐</x:v>
      </x:c>
      <x:c r="B1057" s="12" t="n">
        <x:v>778</x:v>
      </x:c>
      <x:c r="C1057" s="16" t="e">
        <x:f>HYPERLINK("https://pokecottage.com/pokemon-master-sets/mimikyu","Mimikyu")</x:f>
        <x:v>HYPERLINK is not implemented. linkLocation=https://pokecottage.com/pokemon-master-sets/mimikyu, friendlyName=Mimikyu</x:v>
      </x:c>
      <x:c r="D1057" s="8" t="str">
        <x:v>Gen 7 • Alola</x:v>
      </x:c>
      <x:c r="E1057" s="8"/>
      <x:c r="F1057" s="8"/>
    </x:row>
    <x:row r="1058" ht="25" customHeight="1">
      <x:c r="A1058" s="13" t="str">
        <x:v>☐</x:v>
      </x:c>
      <x:c r="B1058" s="11" t="n">
        <x:v>779</x:v>
      </x:c>
      <x:c r="C1058" s="15" t="e">
        <x:f>HYPERLINK("https://pokecottage.com/pokemon-master-sets/bruxish","Bruxish")</x:f>
        <x:v>HYPERLINK is not implemented. linkLocation=https://pokecottage.com/pokemon-master-sets/bruxish, friendlyName=Bruxish</x:v>
      </x:c>
      <x:c r="D1058" s="7" t="str">
        <x:v>Gen 7 • Alola</x:v>
      </x:c>
      <x:c r="E1058" s="7"/>
      <x:c r="F1058" s="7"/>
    </x:row>
    <x:row r="1059" ht="25" customHeight="1">
      <x:c r="A1059" s="14" t="str">
        <x:v>☐</x:v>
      </x:c>
      <x:c r="B1059" s="12" t="n">
        <x:v>780</x:v>
      </x:c>
      <x:c r="C1059" s="16" t="e">
        <x:f>HYPERLINK("https://pokecottage.com/pokemon-master-sets/drampa","Drampa")</x:f>
        <x:v>HYPERLINK is not implemented. linkLocation=https://pokecottage.com/pokemon-master-sets/drampa, friendlyName=Drampa</x:v>
      </x:c>
      <x:c r="D1059" s="8" t="str">
        <x:v>Gen 7 • Alola</x:v>
      </x:c>
      <x:c r="E1059" s="8"/>
      <x:c r="F1059" s="8"/>
    </x:row>
    <x:row r="1060" ht="25" customHeight="1">
      <x:c r="A1060" s="13" t="str">
        <x:v>☐</x:v>
      </x:c>
      <x:c r="B1060" s="11" t="n">
        <x:v>780</x:v>
      </x:c>
      <x:c r="C1060" s="15" t="e">
        <x:f>HYPERLINK("https://pokecottage.com/pokemon-master-sets/drampa","Mega Drampa")</x:f>
        <x:v>HYPERLINK is not implemented. linkLocation=https://pokecottage.com/pokemon-master-sets/drampa, friendlyName=Mega Drampa</x:v>
      </x:c>
      <x:c r="D1060" s="7" t="str">
        <x:v>Mega Evolution</x:v>
      </x:c>
      <x:c r="E1060" s="7"/>
      <x:c r="F1060" s="7"/>
    </x:row>
    <x:row r="1061" ht="25" customHeight="1">
      <x:c r="A1061" s="14" t="str">
        <x:v>☐</x:v>
      </x:c>
      <x:c r="B1061" s="12" t="n">
        <x:v>781</x:v>
      </x:c>
      <x:c r="C1061" s="16" t="e">
        <x:f>HYPERLINK("https://pokecottage.com/pokemon-master-sets/dhelmise","Dhelmise")</x:f>
        <x:v>HYPERLINK is not implemented. linkLocation=https://pokecottage.com/pokemon-master-sets/dhelmise, friendlyName=Dhelmise</x:v>
      </x:c>
      <x:c r="D1061" s="8" t="str">
        <x:v>Gen 7 • Alola</x:v>
      </x:c>
      <x:c r="E1061" s="8"/>
      <x:c r="F1061" s="8"/>
    </x:row>
    <x:row r="1062" ht="25" customHeight="1">
      <x:c r="A1062" s="13" t="str">
        <x:v>☐</x:v>
      </x:c>
      <x:c r="B1062" s="11" t="n">
        <x:v>782</x:v>
      </x:c>
      <x:c r="C1062" s="15" t="e">
        <x:f>HYPERLINK("https://pokecottage.com/pokemon-master-sets/jangmo-o","Jangmo-o")</x:f>
        <x:v>HYPERLINK is not implemented. linkLocation=https://pokecottage.com/pokemon-master-sets/jangmo-o, friendlyName=Jangmo-o</x:v>
      </x:c>
      <x:c r="D1062" s="7" t="str">
        <x:v>Gen 7 • Alola</x:v>
      </x:c>
      <x:c r="E1062" s="7"/>
      <x:c r="F1062" s="7"/>
    </x:row>
    <x:row r="1063" ht="25" customHeight="1">
      <x:c r="A1063" s="14" t="str">
        <x:v>☐</x:v>
      </x:c>
      <x:c r="B1063" s="12" t="n">
        <x:v>783</x:v>
      </x:c>
      <x:c r="C1063" s="16" t="e">
        <x:f>HYPERLINK("https://pokecottage.com/pokemon-master-sets/hakamo-o","Hakamo-o")</x:f>
        <x:v>HYPERLINK is not implemented. linkLocation=https://pokecottage.com/pokemon-master-sets/hakamo-o, friendlyName=Hakamo-o</x:v>
      </x:c>
      <x:c r="D1063" s="8" t="str">
        <x:v>Gen 7 • Alola</x:v>
      </x:c>
      <x:c r="E1063" s="8"/>
      <x:c r="F1063" s="8"/>
    </x:row>
    <x:row r="1064" ht="25" customHeight="1">
      <x:c r="A1064" s="13" t="str">
        <x:v>☐</x:v>
      </x:c>
      <x:c r="B1064" s="11" t="n">
        <x:v>784</x:v>
      </x:c>
      <x:c r="C1064" s="15" t="e">
        <x:f>HYPERLINK("https://pokecottage.com/pokemon-master-sets/kommo-o","Kommo-o")</x:f>
        <x:v>HYPERLINK is not implemented. linkLocation=https://pokecottage.com/pokemon-master-sets/kommo-o, friendlyName=Kommo-o</x:v>
      </x:c>
      <x:c r="D1064" s="7" t="str">
        <x:v>Gen 7 • Alola</x:v>
      </x:c>
      <x:c r="E1064" s="7"/>
      <x:c r="F1064" s="7"/>
    </x:row>
    <x:row r="1065" ht="25" customHeight="1">
      <x:c r="A1065" s="14" t="str">
        <x:v>☐</x:v>
      </x:c>
      <x:c r="B1065" s="12" t="n">
        <x:v>785</x:v>
      </x:c>
      <x:c r="C1065" s="16" t="e">
        <x:f>HYPERLINK("https://pokecottage.com/pokemon-master-sets/tapu-koko","Tapu Koko")</x:f>
        <x:v>HYPERLINK is not implemented. linkLocation=https://pokecottage.com/pokemon-master-sets/tapu-koko, friendlyName=Tapu Koko</x:v>
      </x:c>
      <x:c r="D1065" s="8" t="str">
        <x:v>Gen 7 • Alola</x:v>
      </x:c>
      <x:c r="E1065" s="8"/>
      <x:c r="F1065" s="8"/>
    </x:row>
    <x:row r="1066" ht="25" customHeight="1">
      <x:c r="A1066" s="13" t="str">
        <x:v>☐</x:v>
      </x:c>
      <x:c r="B1066" s="11" t="n">
        <x:v>786</x:v>
      </x:c>
      <x:c r="C1066" s="15" t="e">
        <x:f>HYPERLINK("https://pokecottage.com/pokemon-master-sets/tapu-lele","Tapu Lele")</x:f>
        <x:v>HYPERLINK is not implemented. linkLocation=https://pokecottage.com/pokemon-master-sets/tapu-lele, friendlyName=Tapu Lele</x:v>
      </x:c>
      <x:c r="D1066" s="7" t="str">
        <x:v>Gen 7 • Alola</x:v>
      </x:c>
      <x:c r="E1066" s="7"/>
      <x:c r="F1066" s="7"/>
    </x:row>
    <x:row r="1067" ht="25" customHeight="1">
      <x:c r="A1067" s="14" t="str">
        <x:v>☐</x:v>
      </x:c>
      <x:c r="B1067" s="12" t="n">
        <x:v>787</x:v>
      </x:c>
      <x:c r="C1067" s="16" t="e">
        <x:f>HYPERLINK("https://pokecottage.com/pokemon-master-sets/tapu-bulu","Tapu Bulu")</x:f>
        <x:v>HYPERLINK is not implemented. linkLocation=https://pokecottage.com/pokemon-master-sets/tapu-bulu, friendlyName=Tapu Bulu</x:v>
      </x:c>
      <x:c r="D1067" s="8" t="str">
        <x:v>Gen 7 • Alola</x:v>
      </x:c>
      <x:c r="E1067" s="8"/>
      <x:c r="F1067" s="8"/>
    </x:row>
    <x:row r="1068" ht="25" customHeight="1">
      <x:c r="A1068" s="13" t="str">
        <x:v>☐</x:v>
      </x:c>
      <x:c r="B1068" s="11" t="n">
        <x:v>788</x:v>
      </x:c>
      <x:c r="C1068" s="15" t="e">
        <x:f>HYPERLINK("https://pokecottage.com/pokemon-master-sets/tapu-fini","Tapu Fini")</x:f>
        <x:v>HYPERLINK is not implemented. linkLocation=https://pokecottage.com/pokemon-master-sets/tapu-fini, friendlyName=Tapu Fini</x:v>
      </x:c>
      <x:c r="D1068" s="7" t="str">
        <x:v>Gen 7 • Alola</x:v>
      </x:c>
      <x:c r="E1068" s="7"/>
      <x:c r="F1068" s="7"/>
    </x:row>
    <x:row r="1069" ht="25" customHeight="1">
      <x:c r="A1069" s="14" t="str">
        <x:v>☐</x:v>
      </x:c>
      <x:c r="B1069" s="12" t="n">
        <x:v>789</x:v>
      </x:c>
      <x:c r="C1069" s="16" t="e">
        <x:f>HYPERLINK("https://pokecottage.com/pokemon-master-sets/cosmog","Cosmog")</x:f>
        <x:v>HYPERLINK is not implemented. linkLocation=https://pokecottage.com/pokemon-master-sets/cosmog, friendlyName=Cosmog</x:v>
      </x:c>
      <x:c r="D1069" s="8" t="str">
        <x:v>Gen 7 • Alola</x:v>
      </x:c>
      <x:c r="E1069" s="8"/>
      <x:c r="F1069" s="8"/>
    </x:row>
    <x:row r="1070" ht="25" customHeight="1">
      <x:c r="A1070" s="13" t="str">
        <x:v>☐</x:v>
      </x:c>
      <x:c r="B1070" s="11" t="n">
        <x:v>790</x:v>
      </x:c>
      <x:c r="C1070" s="15" t="e">
        <x:f>HYPERLINK("https://pokecottage.com/pokemon-master-sets/cosmoem","Cosmoem")</x:f>
        <x:v>HYPERLINK is not implemented. linkLocation=https://pokecottage.com/pokemon-master-sets/cosmoem, friendlyName=Cosmoem</x:v>
      </x:c>
      <x:c r="D1070" s="7" t="str">
        <x:v>Gen 7 • Alola</x:v>
      </x:c>
      <x:c r="E1070" s="7"/>
      <x:c r="F1070" s="7"/>
    </x:row>
    <x:row r="1071" ht="25" customHeight="1">
      <x:c r="A1071" s="14" t="str">
        <x:v>☐</x:v>
      </x:c>
      <x:c r="B1071" s="12" t="n">
        <x:v>791</x:v>
      </x:c>
      <x:c r="C1071" s="16" t="e">
        <x:f>HYPERLINK("https://pokecottage.com/pokemon-master-sets/solgaleo","Solgaleo")</x:f>
        <x:v>HYPERLINK is not implemented. linkLocation=https://pokecottage.com/pokemon-master-sets/solgaleo, friendlyName=Solgaleo</x:v>
      </x:c>
      <x:c r="D1071" s="8" t="str">
        <x:v>Gen 7 • Alola</x:v>
      </x:c>
      <x:c r="E1071" s="8"/>
      <x:c r="F1071" s="8"/>
    </x:row>
    <x:row r="1072" ht="25" customHeight="1">
      <x:c r="A1072" s="13" t="str">
        <x:v>☐</x:v>
      </x:c>
      <x:c r="B1072" s="11" t="n">
        <x:v>792</x:v>
      </x:c>
      <x:c r="C1072" s="15" t="e">
        <x:f>HYPERLINK("https://pokecottage.com/pokemon-master-sets/lunala","Lunala")</x:f>
        <x:v>HYPERLINK is not implemented. linkLocation=https://pokecottage.com/pokemon-master-sets/lunala, friendlyName=Lunala</x:v>
      </x:c>
      <x:c r="D1072" s="7" t="str">
        <x:v>Gen 7 • Alola</x:v>
      </x:c>
      <x:c r="E1072" s="7"/>
      <x:c r="F1072" s="7"/>
    </x:row>
    <x:row r="1073" ht="25" customHeight="1">
      <x:c r="A1073" s="14" t="str">
        <x:v>☐</x:v>
      </x:c>
      <x:c r="B1073" s="12" t="n">
        <x:v>793</x:v>
      </x:c>
      <x:c r="C1073" s="16" t="e">
        <x:f>HYPERLINK("https://pokecottage.com/pokemon-master-sets/nihilego","Nihilego")</x:f>
        <x:v>HYPERLINK is not implemented. linkLocation=https://pokecottage.com/pokemon-master-sets/nihilego, friendlyName=Nihilego</x:v>
      </x:c>
      <x:c r="D1073" s="8" t="str">
        <x:v>Gen 7 • Alola</x:v>
      </x:c>
      <x:c r="E1073" s="8"/>
      <x:c r="F1073" s="8"/>
    </x:row>
    <x:row r="1074" ht="25" customHeight="1">
      <x:c r="A1074" s="13" t="str">
        <x:v>☐</x:v>
      </x:c>
      <x:c r="B1074" s="11" t="n">
        <x:v>794</x:v>
      </x:c>
      <x:c r="C1074" s="15" t="e">
        <x:f>HYPERLINK("https://pokecottage.com/pokemon-master-sets/buzzwole","Buzzwole")</x:f>
        <x:v>HYPERLINK is not implemented. linkLocation=https://pokecottage.com/pokemon-master-sets/buzzwole, friendlyName=Buzzwole</x:v>
      </x:c>
      <x:c r="D1074" s="7" t="str">
        <x:v>Gen 7 • Alola</x:v>
      </x:c>
      <x:c r="E1074" s="7"/>
      <x:c r="F1074" s="7"/>
    </x:row>
    <x:row r="1075" ht="25" customHeight="1">
      <x:c r="A1075" s="14" t="str">
        <x:v>☐</x:v>
      </x:c>
      <x:c r="B1075" s="12" t="n">
        <x:v>795</x:v>
      </x:c>
      <x:c r="C1075" s="16" t="e">
        <x:f>HYPERLINK("https://pokecottage.com/pokemon-master-sets/pheromosa","Pheromosa")</x:f>
        <x:v>HYPERLINK is not implemented. linkLocation=https://pokecottage.com/pokemon-master-sets/pheromosa, friendlyName=Pheromosa</x:v>
      </x:c>
      <x:c r="D1075" s="8" t="str">
        <x:v>Gen 7 • Alola</x:v>
      </x:c>
      <x:c r="E1075" s="8"/>
      <x:c r="F1075" s="8"/>
    </x:row>
    <x:row r="1076" ht="25" customHeight="1">
      <x:c r="A1076" s="13" t="str">
        <x:v>☐</x:v>
      </x:c>
      <x:c r="B1076" s="11" t="n">
        <x:v>796</x:v>
      </x:c>
      <x:c r="C1076" s="15" t="e">
        <x:f>HYPERLINK("https://pokecottage.com/pokemon-master-sets/xurkitree","Xurkitree")</x:f>
        <x:v>HYPERLINK is not implemented. linkLocation=https://pokecottage.com/pokemon-master-sets/xurkitree, friendlyName=Xurkitree</x:v>
      </x:c>
      <x:c r="D1076" s="7" t="str">
        <x:v>Gen 7 • Alola</x:v>
      </x:c>
      <x:c r="E1076" s="7"/>
      <x:c r="F1076" s="7"/>
    </x:row>
    <x:row r="1077" ht="25" customHeight="1">
      <x:c r="A1077" s="14" t="str">
        <x:v>☐</x:v>
      </x:c>
      <x:c r="B1077" s="12" t="n">
        <x:v>797</x:v>
      </x:c>
      <x:c r="C1077" s="16" t="e">
        <x:f>HYPERLINK("https://pokecottage.com/pokemon-master-sets/celesteela","Celesteela")</x:f>
        <x:v>HYPERLINK is not implemented. linkLocation=https://pokecottage.com/pokemon-master-sets/celesteela, friendlyName=Celesteela</x:v>
      </x:c>
      <x:c r="D1077" s="8" t="str">
        <x:v>Gen 7 • Alola</x:v>
      </x:c>
      <x:c r="E1077" s="8"/>
      <x:c r="F1077" s="8"/>
    </x:row>
    <x:row r="1078" ht="25" customHeight="1">
      <x:c r="A1078" s="13" t="str">
        <x:v>☐</x:v>
      </x:c>
      <x:c r="B1078" s="11" t="n">
        <x:v>798</x:v>
      </x:c>
      <x:c r="C1078" s="15" t="e">
        <x:f>HYPERLINK("https://pokecottage.com/pokemon-master-sets/kartana","Kartana")</x:f>
        <x:v>HYPERLINK is not implemented. linkLocation=https://pokecottage.com/pokemon-master-sets/kartana, friendlyName=Kartana</x:v>
      </x:c>
      <x:c r="D1078" s="7" t="str">
        <x:v>Gen 7 • Alola</x:v>
      </x:c>
      <x:c r="E1078" s="7"/>
      <x:c r="F1078" s="7"/>
    </x:row>
    <x:row r="1079" ht="25" customHeight="1">
      <x:c r="A1079" s="14" t="str">
        <x:v>☐</x:v>
      </x:c>
      <x:c r="B1079" s="12" t="n">
        <x:v>799</x:v>
      </x:c>
      <x:c r="C1079" s="16" t="e">
        <x:f>HYPERLINK("https://pokecottage.com/pokemon-master-sets/guzzlord","Guzzlord")</x:f>
        <x:v>HYPERLINK is not implemented. linkLocation=https://pokecottage.com/pokemon-master-sets/guzzlord, friendlyName=Guzzlord</x:v>
      </x:c>
      <x:c r="D1079" s="8" t="str">
        <x:v>Gen 7 • Alola</x:v>
      </x:c>
      <x:c r="E1079" s="8"/>
      <x:c r="F1079" s="8"/>
    </x:row>
    <x:row r="1080" ht="25" customHeight="1">
      <x:c r="A1080" s="13" t="str">
        <x:v>☐</x:v>
      </x:c>
      <x:c r="B1080" s="11" t="n">
        <x:v>800</x:v>
      </x:c>
      <x:c r="C1080" s="15" t="e">
        <x:f>HYPERLINK("https://pokecottage.com/pokemon-master-sets/necrozma","Necrozma")</x:f>
        <x:v>HYPERLINK is not implemented. linkLocation=https://pokecottage.com/pokemon-master-sets/necrozma, friendlyName=Necrozma</x:v>
      </x:c>
      <x:c r="D1080" s="7" t="str">
        <x:v>Other Form</x:v>
      </x:c>
      <x:c r="E1080" s="7"/>
      <x:c r="F1080" s="7"/>
    </x:row>
    <x:row r="1081" ht="25" customHeight="1">
      <x:c r="A1081" s="14" t="str">
        <x:v>☐</x:v>
      </x:c>
      <x:c r="B1081" s="12" t="n">
        <x:v>800</x:v>
      </x:c>
      <x:c r="C1081" s="16" t="e">
        <x:f>HYPERLINK("https://pokecottage.com/pokemon-master-sets/necrozma","Dusk Mane Necrozma")</x:f>
        <x:v>HYPERLINK is not implemented. linkLocation=https://pokecottage.com/pokemon-master-sets/necrozma, friendlyName=Dusk Mane Necrozma</x:v>
      </x:c>
      <x:c r="D1081" s="8" t="str">
        <x:v>Other Form</x:v>
      </x:c>
      <x:c r="E1081" s="8"/>
      <x:c r="F1081" s="8"/>
    </x:row>
    <x:row r="1082" ht="25" customHeight="1">
      <x:c r="A1082" s="13" t="str">
        <x:v>☐</x:v>
      </x:c>
      <x:c r="B1082" s="11" t="n">
        <x:v>800</x:v>
      </x:c>
      <x:c r="C1082" s="15" t="e">
        <x:f>HYPERLINK("https://pokecottage.com/pokemon-master-sets/necrozma","Dawn Wings Necrozma")</x:f>
        <x:v>HYPERLINK is not implemented. linkLocation=https://pokecottage.com/pokemon-master-sets/necrozma, friendlyName=Dawn Wings Necrozma</x:v>
      </x:c>
      <x:c r="D1082" s="7" t="str">
        <x:v>Other Form</x:v>
      </x:c>
      <x:c r="E1082" s="7"/>
      <x:c r="F1082" s="7"/>
    </x:row>
    <x:row r="1083" ht="25" customHeight="1">
      <x:c r="A1083" s="14" t="str">
        <x:v>☐</x:v>
      </x:c>
      <x:c r="B1083" s="12" t="n">
        <x:v>800</x:v>
      </x:c>
      <x:c r="C1083" s="16" t="e">
        <x:f>HYPERLINK("https://pokecottage.com/pokemon-master-sets/necrozma","Ultra Necrozma")</x:f>
        <x:v>HYPERLINK is not implemented. linkLocation=https://pokecottage.com/pokemon-master-sets/necrozma, friendlyName=Ultra Necrozma</x:v>
      </x:c>
      <x:c r="D1083" s="8" t="str">
        <x:v>Other Form</x:v>
      </x:c>
      <x:c r="E1083" s="8"/>
      <x:c r="F1083" s="8"/>
    </x:row>
    <x:row r="1084" ht="25" customHeight="1">
      <x:c r="A1084" s="13" t="str">
        <x:v>☐</x:v>
      </x:c>
      <x:c r="B1084" s="11" t="n">
        <x:v>801</x:v>
      </x:c>
      <x:c r="C1084" s="15" t="e">
        <x:f>HYPERLINK("https://pokecottage.com/pokemon-master-sets/magearna","Magearna")</x:f>
        <x:v>HYPERLINK is not implemented. linkLocation=https://pokecottage.com/pokemon-master-sets/magearna, friendlyName=Magearna</x:v>
      </x:c>
      <x:c r="D1084" s="7" t="str">
        <x:v>Gen 7 • Alola</x:v>
      </x:c>
      <x:c r="E1084" s="7"/>
      <x:c r="F1084" s="7"/>
    </x:row>
    <x:row r="1085" ht="25" customHeight="1">
      <x:c r="A1085" s="14" t="str">
        <x:v>☐</x:v>
      </x:c>
      <x:c r="B1085" s="12" t="n">
        <x:v>801</x:v>
      </x:c>
      <x:c r="C1085" s="16" t="e">
        <x:f>HYPERLINK("https://pokecottage.com/pokemon-master-sets/magearna","Mega Magearna")</x:f>
        <x:v>HYPERLINK is not implemented. linkLocation=https://pokecottage.com/pokemon-master-sets/magearna, friendlyName=Mega Magearna</x:v>
      </x:c>
      <x:c r="D1085" s="8" t="str">
        <x:v>Mega Evolution</x:v>
      </x:c>
      <x:c r="E1085" s="8"/>
      <x:c r="F1085" s="8"/>
    </x:row>
    <x:row r="1086" ht="25" customHeight="1">
      <x:c r="A1086" s="13" t="str">
        <x:v>☐</x:v>
      </x:c>
      <x:c r="B1086" s="11" t="n">
        <x:v>801</x:v>
      </x:c>
      <x:c r="C1086" s="15" t="e">
        <x:f>HYPERLINK("https://pokecottage.com/pokemon-master-sets/magearna","Mega Magearna (Original Color)")</x:f>
        <x:v>HYPERLINK is not implemented. linkLocation=https://pokecottage.com/pokemon-master-sets/magearna, friendlyName=Mega Magearna (Original Color)</x:v>
      </x:c>
      <x:c r="D1086" s="7" t="str">
        <x:v>Mega Evolution</x:v>
      </x:c>
      <x:c r="E1086" s="7"/>
      <x:c r="F1086" s="7"/>
    </x:row>
    <x:row r="1087" ht="25" customHeight="1">
      <x:c r="A1087" s="14" t="str">
        <x:v>☐</x:v>
      </x:c>
      <x:c r="B1087" s="12" t="n">
        <x:v>802</x:v>
      </x:c>
      <x:c r="C1087" s="16" t="e">
        <x:f>HYPERLINK("https://pokecottage.com/pokemon-master-sets/marshadow","Marshadow")</x:f>
        <x:v>HYPERLINK is not implemented. linkLocation=https://pokecottage.com/pokemon-master-sets/marshadow, friendlyName=Marshadow</x:v>
      </x:c>
      <x:c r="D1087" s="8" t="str">
        <x:v>Gen 7 • Alola</x:v>
      </x:c>
      <x:c r="E1087" s="8"/>
      <x:c r="F1087" s="8"/>
    </x:row>
    <x:row r="1088" ht="25" customHeight="1">
      <x:c r="A1088" s="13" t="str">
        <x:v>☐</x:v>
      </x:c>
      <x:c r="B1088" s="11" t="n">
        <x:v>803</x:v>
      </x:c>
      <x:c r="C1088" s="15" t="e">
        <x:f>HYPERLINK("https://pokecottage.com/pokemon-master-sets/poipole","Poipole")</x:f>
        <x:v>HYPERLINK is not implemented. linkLocation=https://pokecottage.com/pokemon-master-sets/poipole, friendlyName=Poipole</x:v>
      </x:c>
      <x:c r="D1088" s="7" t="str">
        <x:v>Gen 7 • Alola</x:v>
      </x:c>
      <x:c r="E1088" s="7"/>
      <x:c r="F1088" s="7"/>
    </x:row>
    <x:row r="1089" ht="25" customHeight="1">
      <x:c r="A1089" s="14" t="str">
        <x:v>☐</x:v>
      </x:c>
      <x:c r="B1089" s="12" t="n">
        <x:v>804</x:v>
      </x:c>
      <x:c r="C1089" s="16" t="e">
        <x:f>HYPERLINK("https://pokecottage.com/pokemon-master-sets/naganadel","Naganadel")</x:f>
        <x:v>HYPERLINK is not implemented. linkLocation=https://pokecottage.com/pokemon-master-sets/naganadel, friendlyName=Naganadel</x:v>
      </x:c>
      <x:c r="D1089" s="8" t="str">
        <x:v>Gen 7 • Alola</x:v>
      </x:c>
      <x:c r="E1089" s="8"/>
      <x:c r="F1089" s="8"/>
    </x:row>
    <x:row r="1090" ht="25" customHeight="1">
      <x:c r="A1090" s="13" t="str">
        <x:v>☐</x:v>
      </x:c>
      <x:c r="B1090" s="11" t="n">
        <x:v>805</x:v>
      </x:c>
      <x:c r="C1090" s="15" t="e">
        <x:f>HYPERLINK("https://pokecottage.com/pokemon-master-sets/stakataka","Stakataka")</x:f>
        <x:v>HYPERLINK is not implemented. linkLocation=https://pokecottage.com/pokemon-master-sets/stakataka, friendlyName=Stakataka</x:v>
      </x:c>
      <x:c r="D1090" s="7" t="str">
        <x:v>Gen 7 • Alola</x:v>
      </x:c>
      <x:c r="E1090" s="7"/>
      <x:c r="F1090" s="7"/>
    </x:row>
    <x:row r="1091" ht="25" customHeight="1">
      <x:c r="A1091" s="14" t="str">
        <x:v>☐</x:v>
      </x:c>
      <x:c r="B1091" s="12" t="n">
        <x:v>806</x:v>
      </x:c>
      <x:c r="C1091" s="16" t="e">
        <x:f>HYPERLINK("https://pokecottage.com/pokemon-master-sets/blacephalon","Blacephalon")</x:f>
        <x:v>HYPERLINK is not implemented. linkLocation=https://pokecottage.com/pokemon-master-sets/blacephalon, friendlyName=Blacephalon</x:v>
      </x:c>
      <x:c r="D1091" s="8" t="str">
        <x:v>Gen 7 • Alola</x:v>
      </x:c>
      <x:c r="E1091" s="8"/>
      <x:c r="F1091" s="8"/>
    </x:row>
    <x:row r="1092" ht="25" customHeight="1">
      <x:c r="A1092" s="13" t="str">
        <x:v>☐</x:v>
      </x:c>
      <x:c r="B1092" s="11" t="n">
        <x:v>807</x:v>
      </x:c>
      <x:c r="C1092" s="15" t="e">
        <x:f>HYPERLINK("https://pokecottage.com/pokemon-master-sets/zeraora","Zeraora")</x:f>
        <x:v>HYPERLINK is not implemented. linkLocation=https://pokecottage.com/pokemon-master-sets/zeraora, friendlyName=Zeraora</x:v>
      </x:c>
      <x:c r="D1092" s="7" t="str">
        <x:v>Gen 7 • Alola</x:v>
      </x:c>
      <x:c r="E1092" s="7"/>
      <x:c r="F1092" s="7"/>
    </x:row>
    <x:row r="1093" ht="25" customHeight="1">
      <x:c r="A1093" s="14" t="str">
        <x:v>☐</x:v>
      </x:c>
      <x:c r="B1093" s="12" t="n">
        <x:v>807</x:v>
      </x:c>
      <x:c r="C1093" s="16" t="e">
        <x:f>HYPERLINK("https://pokecottage.com/pokemon-master-sets/zeraora","Mega Zeraora")</x:f>
        <x:v>HYPERLINK is not implemented. linkLocation=https://pokecottage.com/pokemon-master-sets/zeraora, friendlyName=Mega Zeraora</x:v>
      </x:c>
      <x:c r="D1093" s="8" t="str">
        <x:v>Mega Evolution</x:v>
      </x:c>
      <x:c r="E1093" s="8"/>
      <x:c r="F1093" s="8"/>
    </x:row>
    <x:row r="1094" ht="25" customHeight="1">
      <x:c r="A1094" s="13" t="str">
        <x:v>☐</x:v>
      </x:c>
      <x:c r="B1094" s="11" t="n">
        <x:v>808</x:v>
      </x:c>
      <x:c r="C1094" s="15" t="e">
        <x:f>HYPERLINK("https://pokecottage.com/pokemon-master-sets/meltan","Meltan")</x:f>
        <x:v>HYPERLINK is not implemented. linkLocation=https://pokecottage.com/pokemon-master-sets/meltan, friendlyName=Meltan</x:v>
      </x:c>
      <x:c r="D1094" s="7" t="str">
        <x:v>Gen 7 • Alola</x:v>
      </x:c>
      <x:c r="E1094" s="7"/>
      <x:c r="F1094" s="7"/>
    </x:row>
    <x:row r="1095" ht="25" customHeight="1">
      <x:c r="A1095" s="14" t="str">
        <x:v>☐</x:v>
      </x:c>
      <x:c r="B1095" s="12" t="n">
        <x:v>809</x:v>
      </x:c>
      <x:c r="C1095" s="16" t="e">
        <x:f>HYPERLINK("https://pokecottage.com/pokemon-master-sets/melmetal","Melmetal")</x:f>
        <x:v>HYPERLINK is not implemented. linkLocation=https://pokecottage.com/pokemon-master-sets/melmetal, friendlyName=Melmetal</x:v>
      </x:c>
      <x:c r="D1095" s="8" t="str">
        <x:v>Gen 7 • Alola</x:v>
      </x:c>
      <x:c r="E1095" s="8"/>
      <x:c r="F1095" s="8"/>
    </x:row>
    <x:row r="1096" ht="25" customHeight="1">
      <x:c r="A1096" s="13" t="str">
        <x:v>☐</x:v>
      </x:c>
      <x:c r="B1096" s="11" t="n">
        <x:v>809</x:v>
      </x:c>
      <x:c r="C1096" s="15" t="e">
        <x:f>HYPERLINK("https://pokecottage.com/pokemon-master-sets/melmetal","Gigantamax Melmetal")</x:f>
        <x:v>HYPERLINK is not implemented. linkLocation=https://pokecottage.com/pokemon-master-sets/melmetal, friendlyName=Gigantamax Melmetal</x:v>
      </x:c>
      <x:c r="D1096" s="7" t="str">
        <x:v>Gigantamax</x:v>
      </x:c>
      <x:c r="E1096" s="7"/>
      <x:c r="F1096" s="7"/>
    </x:row>
    <x:row r="1097" ht="25" customHeight="1">
      <x:c r="A1097" s="14" t="str">
        <x:v>☐</x:v>
      </x:c>
      <x:c r="B1097" s="12" t="n">
        <x:v>810</x:v>
      </x:c>
      <x:c r="C1097" s="16" t="e">
        <x:f>HYPERLINK("https://pokecottage.com/pokemon-master-sets/grookey","Grookey")</x:f>
        <x:v>HYPERLINK is not implemented. linkLocation=https://pokecottage.com/pokemon-master-sets/grookey, friendlyName=Grookey</x:v>
      </x:c>
      <x:c r="D1097" s="8" t="str">
        <x:v>Gen 8 • Galar</x:v>
      </x:c>
      <x:c r="E1097" s="8"/>
      <x:c r="F1097" s="8"/>
    </x:row>
    <x:row r="1098" ht="25" customHeight="1">
      <x:c r="A1098" s="13" t="str">
        <x:v>☐</x:v>
      </x:c>
      <x:c r="B1098" s="11" t="n">
        <x:v>811</x:v>
      </x:c>
      <x:c r="C1098" s="15" t="e">
        <x:f>HYPERLINK("https://pokecottage.com/pokemon-master-sets/thwackey","Thwackey")</x:f>
        <x:v>HYPERLINK is not implemented. linkLocation=https://pokecottage.com/pokemon-master-sets/thwackey, friendlyName=Thwackey</x:v>
      </x:c>
      <x:c r="D1098" s="7" t="str">
        <x:v>Gen 8 • Galar</x:v>
      </x:c>
      <x:c r="E1098" s="7"/>
      <x:c r="F1098" s="7"/>
    </x:row>
    <x:row r="1099" ht="25" customHeight="1">
      <x:c r="A1099" s="14" t="str">
        <x:v>☐</x:v>
      </x:c>
      <x:c r="B1099" s="12" t="n">
        <x:v>812</x:v>
      </x:c>
      <x:c r="C1099" s="16" t="e">
        <x:f>HYPERLINK("https://pokecottage.com/pokemon-master-sets/rillaboom","Rillaboom")</x:f>
        <x:v>HYPERLINK is not implemented. linkLocation=https://pokecottage.com/pokemon-master-sets/rillaboom, friendlyName=Rillaboom</x:v>
      </x:c>
      <x:c r="D1099" s="8" t="str">
        <x:v>Gen 8 • Galar</x:v>
      </x:c>
      <x:c r="E1099" s="8"/>
      <x:c r="F1099" s="8"/>
    </x:row>
    <x:row r="1100" ht="25" customHeight="1">
      <x:c r="A1100" s="13" t="str">
        <x:v>☐</x:v>
      </x:c>
      <x:c r="B1100" s="11" t="n">
        <x:v>812</x:v>
      </x:c>
      <x:c r="C1100" s="15" t="e">
        <x:f>HYPERLINK("https://pokecottage.com/pokemon-master-sets/rillaboom","Gigantamax Rillaboom")</x:f>
        <x:v>HYPERLINK is not implemented. linkLocation=https://pokecottage.com/pokemon-master-sets/rillaboom, friendlyName=Gigantamax Rillaboom</x:v>
      </x:c>
      <x:c r="D1100" s="7" t="str">
        <x:v>Gigantamax</x:v>
      </x:c>
      <x:c r="E1100" s="7"/>
      <x:c r="F1100" s="7"/>
    </x:row>
    <x:row r="1101" ht="25" customHeight="1">
      <x:c r="A1101" s="14" t="str">
        <x:v>☐</x:v>
      </x:c>
      <x:c r="B1101" s="12" t="n">
        <x:v>813</x:v>
      </x:c>
      <x:c r="C1101" s="16" t="e">
        <x:f>HYPERLINK("https://pokecottage.com/pokemon-master-sets/scorbunny","Scorbunny")</x:f>
        <x:v>HYPERLINK is not implemented. linkLocation=https://pokecottage.com/pokemon-master-sets/scorbunny, friendlyName=Scorbunny</x:v>
      </x:c>
      <x:c r="D1101" s="8" t="str">
        <x:v>Gen 8 • Galar</x:v>
      </x:c>
      <x:c r="E1101" s="8"/>
      <x:c r="F1101" s="8"/>
    </x:row>
    <x:row r="1102" ht="25" customHeight="1">
      <x:c r="A1102" s="13" t="str">
        <x:v>☐</x:v>
      </x:c>
      <x:c r="B1102" s="11" t="n">
        <x:v>814</x:v>
      </x:c>
      <x:c r="C1102" s="15" t="e">
        <x:f>HYPERLINK("https://pokecottage.com/pokemon-master-sets/raboot","Raboot")</x:f>
        <x:v>HYPERLINK is not implemented. linkLocation=https://pokecottage.com/pokemon-master-sets/raboot, friendlyName=Raboot</x:v>
      </x:c>
      <x:c r="D1102" s="7" t="str">
        <x:v>Gen 8 • Galar</x:v>
      </x:c>
      <x:c r="E1102" s="7"/>
      <x:c r="F1102" s="7"/>
    </x:row>
    <x:row r="1103" ht="25" customHeight="1">
      <x:c r="A1103" s="14" t="str">
        <x:v>☐</x:v>
      </x:c>
      <x:c r="B1103" s="12" t="n">
        <x:v>815</x:v>
      </x:c>
      <x:c r="C1103" s="16" t="e">
        <x:f>HYPERLINK("https://pokecottage.com/pokemon-master-sets/cinderace","Cinderace")</x:f>
        <x:v>HYPERLINK is not implemented. linkLocation=https://pokecottage.com/pokemon-master-sets/cinderace, friendlyName=Cinderace</x:v>
      </x:c>
      <x:c r="D1103" s="8" t="str">
        <x:v>Gen 8 • Galar</x:v>
      </x:c>
      <x:c r="E1103" s="8"/>
      <x:c r="F1103" s="8"/>
    </x:row>
    <x:row r="1104" ht="25" customHeight="1">
      <x:c r="A1104" s="13" t="str">
        <x:v>☐</x:v>
      </x:c>
      <x:c r="B1104" s="11" t="n">
        <x:v>815</x:v>
      </x:c>
      <x:c r="C1104" s="15" t="e">
        <x:f>HYPERLINK("https://pokecottage.com/pokemon-master-sets/cinderace","Gigantamax Cinderace")</x:f>
        <x:v>HYPERLINK is not implemented. linkLocation=https://pokecottage.com/pokemon-master-sets/cinderace, friendlyName=Gigantamax Cinderace</x:v>
      </x:c>
      <x:c r="D1104" s="7" t="str">
        <x:v>Gigantamax</x:v>
      </x:c>
      <x:c r="E1104" s="7"/>
      <x:c r="F1104" s="7"/>
    </x:row>
    <x:row r="1105" ht="25" customHeight="1">
      <x:c r="A1105" s="14" t="str">
        <x:v>☐</x:v>
      </x:c>
      <x:c r="B1105" s="12" t="n">
        <x:v>816</x:v>
      </x:c>
      <x:c r="C1105" s="16" t="e">
        <x:f>HYPERLINK("https://pokecottage.com/pokemon-master-sets/sobble","Sobble")</x:f>
        <x:v>HYPERLINK is not implemented. linkLocation=https://pokecottage.com/pokemon-master-sets/sobble, friendlyName=Sobble</x:v>
      </x:c>
      <x:c r="D1105" s="8" t="str">
        <x:v>Gen 8 • Galar</x:v>
      </x:c>
      <x:c r="E1105" s="8"/>
      <x:c r="F1105" s="8"/>
    </x:row>
    <x:row r="1106" ht="25" customHeight="1">
      <x:c r="A1106" s="13" t="str">
        <x:v>☐</x:v>
      </x:c>
      <x:c r="B1106" s="11" t="n">
        <x:v>817</x:v>
      </x:c>
      <x:c r="C1106" s="15" t="e">
        <x:f>HYPERLINK("https://pokecottage.com/pokemon-master-sets/drizzile","Drizzile")</x:f>
        <x:v>HYPERLINK is not implemented. linkLocation=https://pokecottage.com/pokemon-master-sets/drizzile, friendlyName=Drizzile</x:v>
      </x:c>
      <x:c r="D1106" s="7" t="str">
        <x:v>Gen 8 • Galar</x:v>
      </x:c>
      <x:c r="E1106" s="7"/>
      <x:c r="F1106" s="7"/>
    </x:row>
    <x:row r="1107" ht="25" customHeight="1">
      <x:c r="A1107" s="14" t="str">
        <x:v>☐</x:v>
      </x:c>
      <x:c r="B1107" s="12" t="n">
        <x:v>818</x:v>
      </x:c>
      <x:c r="C1107" s="16" t="e">
        <x:f>HYPERLINK("https://pokecottage.com/pokemon-master-sets/inteleon","Inteleon")</x:f>
        <x:v>HYPERLINK is not implemented. linkLocation=https://pokecottage.com/pokemon-master-sets/inteleon, friendlyName=Inteleon</x:v>
      </x:c>
      <x:c r="D1107" s="8" t="str">
        <x:v>Gen 8 • Galar</x:v>
      </x:c>
      <x:c r="E1107" s="8"/>
      <x:c r="F1107" s="8"/>
    </x:row>
    <x:row r="1108" ht="25" customHeight="1">
      <x:c r="A1108" s="13" t="str">
        <x:v>☐</x:v>
      </x:c>
      <x:c r="B1108" s="11" t="n">
        <x:v>818</x:v>
      </x:c>
      <x:c r="C1108" s="15" t="e">
        <x:f>HYPERLINK("https://pokecottage.com/pokemon-master-sets/inteleon","Gigantamax Inteleon")</x:f>
        <x:v>HYPERLINK is not implemented. linkLocation=https://pokecottage.com/pokemon-master-sets/inteleon, friendlyName=Gigantamax Inteleon</x:v>
      </x:c>
      <x:c r="D1108" s="7" t="str">
        <x:v>Gigantamax</x:v>
      </x:c>
      <x:c r="E1108" s="7"/>
      <x:c r="F1108" s="7"/>
    </x:row>
    <x:row r="1109" ht="25" customHeight="1">
      <x:c r="A1109" s="14" t="str">
        <x:v>☐</x:v>
      </x:c>
      <x:c r="B1109" s="12" t="n">
        <x:v>819</x:v>
      </x:c>
      <x:c r="C1109" s="16" t="e">
        <x:f>HYPERLINK("https://pokecottage.com/pokemon-master-sets/skwovet","Skwovet")</x:f>
        <x:v>HYPERLINK is not implemented. linkLocation=https://pokecottage.com/pokemon-master-sets/skwovet, friendlyName=Skwovet</x:v>
      </x:c>
      <x:c r="D1109" s="8" t="str">
        <x:v>Gen 8 • Galar</x:v>
      </x:c>
      <x:c r="E1109" s="8"/>
      <x:c r="F1109" s="8"/>
    </x:row>
    <x:row r="1110" ht="25" customHeight="1">
      <x:c r="A1110" s="13" t="str">
        <x:v>☐</x:v>
      </x:c>
      <x:c r="B1110" s="11" t="n">
        <x:v>820</x:v>
      </x:c>
      <x:c r="C1110" s="15" t="e">
        <x:f>HYPERLINK("https://pokecottage.com/pokemon-master-sets/greedent","Greedent")</x:f>
        <x:v>HYPERLINK is not implemented. linkLocation=https://pokecottage.com/pokemon-master-sets/greedent, friendlyName=Greedent</x:v>
      </x:c>
      <x:c r="D1110" s="7" t="str">
        <x:v>Gen 8 • Galar</x:v>
      </x:c>
      <x:c r="E1110" s="7"/>
      <x:c r="F1110" s="7"/>
    </x:row>
    <x:row r="1111" ht="25" customHeight="1">
      <x:c r="A1111" s="14" t="str">
        <x:v>☐</x:v>
      </x:c>
      <x:c r="B1111" s="12" t="n">
        <x:v>821</x:v>
      </x:c>
      <x:c r="C1111" s="16" t="e">
        <x:f>HYPERLINK("https://pokecottage.com/pokemon-master-sets/rookidee","Rookidee")</x:f>
        <x:v>HYPERLINK is not implemented. linkLocation=https://pokecottage.com/pokemon-master-sets/rookidee, friendlyName=Rookidee</x:v>
      </x:c>
      <x:c r="D1111" s="8" t="str">
        <x:v>Gen 8 • Galar</x:v>
      </x:c>
      <x:c r="E1111" s="8"/>
      <x:c r="F1111" s="8"/>
    </x:row>
    <x:row r="1112" ht="25" customHeight="1">
      <x:c r="A1112" s="13" t="str">
        <x:v>☐</x:v>
      </x:c>
      <x:c r="B1112" s="11" t="n">
        <x:v>822</x:v>
      </x:c>
      <x:c r="C1112" s="15" t="e">
        <x:f>HYPERLINK("https://pokecottage.com/pokemon-master-sets/corvisquire","Corvisquire")</x:f>
        <x:v>HYPERLINK is not implemented. linkLocation=https://pokecottage.com/pokemon-master-sets/corvisquire, friendlyName=Corvisquire</x:v>
      </x:c>
      <x:c r="D1112" s="7" t="str">
        <x:v>Gen 8 • Galar</x:v>
      </x:c>
      <x:c r="E1112" s="7"/>
      <x:c r="F1112" s="7"/>
    </x:row>
    <x:row r="1113" ht="25" customHeight="1">
      <x:c r="A1113" s="14" t="str">
        <x:v>☐</x:v>
      </x:c>
      <x:c r="B1113" s="12" t="n">
        <x:v>823</x:v>
      </x:c>
      <x:c r="C1113" s="16" t="e">
        <x:f>HYPERLINK("https://pokecottage.com/pokemon-master-sets/corviknight","Corviknight")</x:f>
        <x:v>HYPERLINK is not implemented. linkLocation=https://pokecottage.com/pokemon-master-sets/corviknight, friendlyName=Corviknight</x:v>
      </x:c>
      <x:c r="D1113" s="8" t="str">
        <x:v>Gen 8 • Galar</x:v>
      </x:c>
      <x:c r="E1113" s="8"/>
      <x:c r="F1113" s="8"/>
    </x:row>
    <x:row r="1114" ht="25" customHeight="1">
      <x:c r="A1114" s="13" t="str">
        <x:v>☐</x:v>
      </x:c>
      <x:c r="B1114" s="11" t="n">
        <x:v>823</x:v>
      </x:c>
      <x:c r="C1114" s="15" t="e">
        <x:f>HYPERLINK("https://pokecottage.com/pokemon-master-sets/corviknight","Gigantamax Corviknight")</x:f>
        <x:v>HYPERLINK is not implemented. linkLocation=https://pokecottage.com/pokemon-master-sets/corviknight, friendlyName=Gigantamax Corviknight</x:v>
      </x:c>
      <x:c r="D1114" s="7" t="str">
        <x:v>Gigantamax</x:v>
      </x:c>
      <x:c r="E1114" s="7"/>
      <x:c r="F1114" s="7"/>
    </x:row>
    <x:row r="1115" ht="25" customHeight="1">
      <x:c r="A1115" s="14" t="str">
        <x:v>☐</x:v>
      </x:c>
      <x:c r="B1115" s="12" t="n">
        <x:v>824</x:v>
      </x:c>
      <x:c r="C1115" s="16" t="e">
        <x:f>HYPERLINK("https://pokecottage.com/pokemon-master-sets/blipbug","Blipbug")</x:f>
        <x:v>HYPERLINK is not implemented. linkLocation=https://pokecottage.com/pokemon-master-sets/blipbug, friendlyName=Blipbug</x:v>
      </x:c>
      <x:c r="D1115" s="8" t="str">
        <x:v>Gen 8 • Galar</x:v>
      </x:c>
      <x:c r="E1115" s="8"/>
      <x:c r="F1115" s="8"/>
    </x:row>
    <x:row r="1116" ht="25" customHeight="1">
      <x:c r="A1116" s="13" t="str">
        <x:v>☐</x:v>
      </x:c>
      <x:c r="B1116" s="11" t="n">
        <x:v>825</x:v>
      </x:c>
      <x:c r="C1116" s="15" t="e">
        <x:f>HYPERLINK("https://pokecottage.com/pokemon-master-sets/dottler","Dottler")</x:f>
        <x:v>HYPERLINK is not implemented. linkLocation=https://pokecottage.com/pokemon-master-sets/dottler, friendlyName=Dottler</x:v>
      </x:c>
      <x:c r="D1116" s="7" t="str">
        <x:v>Gen 8 • Galar</x:v>
      </x:c>
      <x:c r="E1116" s="7"/>
      <x:c r="F1116" s="7"/>
    </x:row>
    <x:row r="1117" ht="25" customHeight="1">
      <x:c r="A1117" s="14" t="str">
        <x:v>☐</x:v>
      </x:c>
      <x:c r="B1117" s="12" t="n">
        <x:v>826</x:v>
      </x:c>
      <x:c r="C1117" s="16" t="e">
        <x:f>HYPERLINK("https://pokecottage.com/pokemon-master-sets/orbeetle","Orbeetle")</x:f>
        <x:v>HYPERLINK is not implemented. linkLocation=https://pokecottage.com/pokemon-master-sets/orbeetle, friendlyName=Orbeetle</x:v>
      </x:c>
      <x:c r="D1117" s="8" t="str">
        <x:v>Gen 8 • Galar</x:v>
      </x:c>
      <x:c r="E1117" s="8"/>
      <x:c r="F1117" s="8"/>
    </x:row>
    <x:row r="1118" ht="25" customHeight="1">
      <x:c r="A1118" s="13" t="str">
        <x:v>☐</x:v>
      </x:c>
      <x:c r="B1118" s="11" t="n">
        <x:v>826</x:v>
      </x:c>
      <x:c r="C1118" s="15" t="e">
        <x:f>HYPERLINK("https://pokecottage.com/pokemon-master-sets/orbeetle","Gigantamax Orbeetle")</x:f>
        <x:v>HYPERLINK is not implemented. linkLocation=https://pokecottage.com/pokemon-master-sets/orbeetle, friendlyName=Gigantamax Orbeetle</x:v>
      </x:c>
      <x:c r="D1118" s="7" t="str">
        <x:v>Gigantamax</x:v>
      </x:c>
      <x:c r="E1118" s="7"/>
      <x:c r="F1118" s="7"/>
    </x:row>
    <x:row r="1119" ht="25" customHeight="1">
      <x:c r="A1119" s="14" t="str">
        <x:v>☐</x:v>
      </x:c>
      <x:c r="B1119" s="12" t="n">
        <x:v>827</x:v>
      </x:c>
      <x:c r="C1119" s="16" t="e">
        <x:f>HYPERLINK("https://pokecottage.com/pokemon-master-sets/nickit","Nickit")</x:f>
        <x:v>HYPERLINK is not implemented. linkLocation=https://pokecottage.com/pokemon-master-sets/nickit, friendlyName=Nickit</x:v>
      </x:c>
      <x:c r="D1119" s="8" t="str">
        <x:v>Gen 8 • Galar</x:v>
      </x:c>
      <x:c r="E1119" s="8"/>
      <x:c r="F1119" s="8"/>
    </x:row>
    <x:row r="1120" ht="25" customHeight="1">
      <x:c r="A1120" s="13" t="str">
        <x:v>☐</x:v>
      </x:c>
      <x:c r="B1120" s="11" t="n">
        <x:v>828</x:v>
      </x:c>
      <x:c r="C1120" s="15" t="e">
        <x:f>HYPERLINK("https://pokecottage.com/pokemon-master-sets/thievul","Thievul")</x:f>
        <x:v>HYPERLINK is not implemented. linkLocation=https://pokecottage.com/pokemon-master-sets/thievul, friendlyName=Thievul</x:v>
      </x:c>
      <x:c r="D1120" s="7" t="str">
        <x:v>Gen 8 • Galar</x:v>
      </x:c>
      <x:c r="E1120" s="7"/>
      <x:c r="F1120" s="7"/>
    </x:row>
    <x:row r="1121" ht="25" customHeight="1">
      <x:c r="A1121" s="14" t="str">
        <x:v>☐</x:v>
      </x:c>
      <x:c r="B1121" s="12" t="n">
        <x:v>829</x:v>
      </x:c>
      <x:c r="C1121" s="16" t="e">
        <x:f>HYPERLINK("https://pokecottage.com/pokemon-master-sets/gossifleur","Gossifleur")</x:f>
        <x:v>HYPERLINK is not implemented. linkLocation=https://pokecottage.com/pokemon-master-sets/gossifleur, friendlyName=Gossifleur</x:v>
      </x:c>
      <x:c r="D1121" s="8" t="str">
        <x:v>Gen 8 • Galar</x:v>
      </x:c>
      <x:c r="E1121" s="8"/>
      <x:c r="F1121" s="8"/>
    </x:row>
    <x:row r="1122" ht="25" customHeight="1">
      <x:c r="A1122" s="13" t="str">
        <x:v>☐</x:v>
      </x:c>
      <x:c r="B1122" s="11" t="n">
        <x:v>830</x:v>
      </x:c>
      <x:c r="C1122" s="15" t="e">
        <x:f>HYPERLINK("https://pokecottage.com/pokemon-master-sets/eldegoss","Eldegoss")</x:f>
        <x:v>HYPERLINK is not implemented. linkLocation=https://pokecottage.com/pokemon-master-sets/eldegoss, friendlyName=Eldegoss</x:v>
      </x:c>
      <x:c r="D1122" s="7" t="str">
        <x:v>Gen 8 • Galar</x:v>
      </x:c>
      <x:c r="E1122" s="7"/>
      <x:c r="F1122" s="7"/>
    </x:row>
    <x:row r="1123" ht="25" customHeight="1">
      <x:c r="A1123" s="14" t="str">
        <x:v>☐</x:v>
      </x:c>
      <x:c r="B1123" s="12" t="n">
        <x:v>831</x:v>
      </x:c>
      <x:c r="C1123" s="16" t="e">
        <x:f>HYPERLINK("https://pokecottage.com/pokemon-master-sets/wooloo","Wooloo")</x:f>
        <x:v>HYPERLINK is not implemented. linkLocation=https://pokecottage.com/pokemon-master-sets/wooloo, friendlyName=Wooloo</x:v>
      </x:c>
      <x:c r="D1123" s="8" t="str">
        <x:v>Gen 8 • Galar</x:v>
      </x:c>
      <x:c r="E1123" s="8"/>
      <x:c r="F1123" s="8"/>
    </x:row>
    <x:row r="1124" ht="25" customHeight="1">
      <x:c r="A1124" s="13" t="str">
        <x:v>☐</x:v>
      </x:c>
      <x:c r="B1124" s="11" t="n">
        <x:v>832</x:v>
      </x:c>
      <x:c r="C1124" s="15" t="e">
        <x:f>HYPERLINK("https://pokecottage.com/pokemon-master-sets/dubwool","Dubwool")</x:f>
        <x:v>HYPERLINK is not implemented. linkLocation=https://pokecottage.com/pokemon-master-sets/dubwool, friendlyName=Dubwool</x:v>
      </x:c>
      <x:c r="D1124" s="7" t="str">
        <x:v>Gen 8 • Galar</x:v>
      </x:c>
      <x:c r="E1124" s="7"/>
      <x:c r="F1124" s="7"/>
    </x:row>
    <x:row r="1125" ht="25" customHeight="1">
      <x:c r="A1125" s="14" t="str">
        <x:v>☐</x:v>
      </x:c>
      <x:c r="B1125" s="12" t="n">
        <x:v>833</x:v>
      </x:c>
      <x:c r="C1125" s="16" t="e">
        <x:f>HYPERLINK("https://pokecottage.com/pokemon-master-sets/chewtle","Chewtle")</x:f>
        <x:v>HYPERLINK is not implemented. linkLocation=https://pokecottage.com/pokemon-master-sets/chewtle, friendlyName=Chewtle</x:v>
      </x:c>
      <x:c r="D1125" s="8" t="str">
        <x:v>Gen 8 • Galar</x:v>
      </x:c>
      <x:c r="E1125" s="8"/>
      <x:c r="F1125" s="8"/>
    </x:row>
    <x:row r="1126" ht="25" customHeight="1">
      <x:c r="A1126" s="13" t="str">
        <x:v>☐</x:v>
      </x:c>
      <x:c r="B1126" s="11" t="n">
        <x:v>834</x:v>
      </x:c>
      <x:c r="C1126" s="15" t="e">
        <x:f>HYPERLINK("https://pokecottage.com/pokemon-master-sets/drednaw","Drednaw")</x:f>
        <x:v>HYPERLINK is not implemented. linkLocation=https://pokecottage.com/pokemon-master-sets/drednaw, friendlyName=Drednaw</x:v>
      </x:c>
      <x:c r="D1126" s="7" t="str">
        <x:v>Gen 8 • Galar</x:v>
      </x:c>
      <x:c r="E1126" s="7"/>
      <x:c r="F1126" s="7"/>
    </x:row>
    <x:row r="1127" ht="25" customHeight="1">
      <x:c r="A1127" s="14" t="str">
        <x:v>☐</x:v>
      </x:c>
      <x:c r="B1127" s="12" t="n">
        <x:v>834</x:v>
      </x:c>
      <x:c r="C1127" s="16" t="e">
        <x:f>HYPERLINK("https://pokecottage.com/pokemon-master-sets/drednaw","Gigantamax Drednaw")</x:f>
        <x:v>HYPERLINK is not implemented. linkLocation=https://pokecottage.com/pokemon-master-sets/drednaw, friendlyName=Gigantamax Drednaw</x:v>
      </x:c>
      <x:c r="D1127" s="8" t="str">
        <x:v>Gigantamax</x:v>
      </x:c>
      <x:c r="E1127" s="8"/>
      <x:c r="F1127" s="8"/>
    </x:row>
    <x:row r="1128" ht="25" customHeight="1">
      <x:c r="A1128" s="13" t="str">
        <x:v>☐</x:v>
      </x:c>
      <x:c r="B1128" s="11" t="n">
        <x:v>835</x:v>
      </x:c>
      <x:c r="C1128" s="15" t="e">
        <x:f>HYPERLINK("https://pokecottage.com/pokemon-master-sets/yamper","Yamper")</x:f>
        <x:v>HYPERLINK is not implemented. linkLocation=https://pokecottage.com/pokemon-master-sets/yamper, friendlyName=Yamper</x:v>
      </x:c>
      <x:c r="D1128" s="7" t="str">
        <x:v>Gen 8 • Galar</x:v>
      </x:c>
      <x:c r="E1128" s="7"/>
      <x:c r="F1128" s="7"/>
    </x:row>
    <x:row r="1129" ht="25" customHeight="1">
      <x:c r="A1129" s="14" t="str">
        <x:v>☐</x:v>
      </x:c>
      <x:c r="B1129" s="12" t="n">
        <x:v>836</x:v>
      </x:c>
      <x:c r="C1129" s="16" t="e">
        <x:f>HYPERLINK("https://pokecottage.com/pokemon-master-sets/boltund","Boltund")</x:f>
        <x:v>HYPERLINK is not implemented. linkLocation=https://pokecottage.com/pokemon-master-sets/boltund, friendlyName=Boltund</x:v>
      </x:c>
      <x:c r="D1129" s="8" t="str">
        <x:v>Gen 8 • Galar</x:v>
      </x:c>
      <x:c r="E1129" s="8"/>
      <x:c r="F1129" s="8"/>
    </x:row>
    <x:row r="1130" ht="25" customHeight="1">
      <x:c r="A1130" s="13" t="str">
        <x:v>☐</x:v>
      </x:c>
      <x:c r="B1130" s="11" t="n">
        <x:v>837</x:v>
      </x:c>
      <x:c r="C1130" s="15" t="e">
        <x:f>HYPERLINK("https://pokecottage.com/pokemon-master-sets/rolycoly","Rolycoly")</x:f>
        <x:v>HYPERLINK is not implemented. linkLocation=https://pokecottage.com/pokemon-master-sets/rolycoly, friendlyName=Rolycoly</x:v>
      </x:c>
      <x:c r="D1130" s="7" t="str">
        <x:v>Gen 8 • Galar</x:v>
      </x:c>
      <x:c r="E1130" s="7"/>
      <x:c r="F1130" s="7"/>
    </x:row>
    <x:row r="1131" ht="25" customHeight="1">
      <x:c r="A1131" s="14" t="str">
        <x:v>☐</x:v>
      </x:c>
      <x:c r="B1131" s="12" t="n">
        <x:v>838</x:v>
      </x:c>
      <x:c r="C1131" s="16" t="e">
        <x:f>HYPERLINK("https://pokecottage.com/pokemon-master-sets/carkol","Carkol")</x:f>
        <x:v>HYPERLINK is not implemented. linkLocation=https://pokecottage.com/pokemon-master-sets/carkol, friendlyName=Carkol</x:v>
      </x:c>
      <x:c r="D1131" s="8" t="str">
        <x:v>Gen 8 • Galar</x:v>
      </x:c>
      <x:c r="E1131" s="8"/>
      <x:c r="F1131" s="8"/>
    </x:row>
    <x:row r="1132" ht="25" customHeight="1">
      <x:c r="A1132" s="13" t="str">
        <x:v>☐</x:v>
      </x:c>
      <x:c r="B1132" s="11" t="n">
        <x:v>839</x:v>
      </x:c>
      <x:c r="C1132" s="15" t="e">
        <x:f>HYPERLINK("https://pokecottage.com/pokemon-master-sets/coalossal","Coalossal")</x:f>
        <x:v>HYPERLINK is not implemented. linkLocation=https://pokecottage.com/pokemon-master-sets/coalossal, friendlyName=Coalossal</x:v>
      </x:c>
      <x:c r="D1132" s="7" t="str">
        <x:v>Gen 8 • Galar</x:v>
      </x:c>
      <x:c r="E1132" s="7"/>
      <x:c r="F1132" s="7"/>
    </x:row>
    <x:row r="1133" ht="25" customHeight="1">
      <x:c r="A1133" s="14" t="str">
        <x:v>☐</x:v>
      </x:c>
      <x:c r="B1133" s="12" t="n">
        <x:v>839</x:v>
      </x:c>
      <x:c r="C1133" s="16" t="e">
        <x:f>HYPERLINK("https://pokecottage.com/pokemon-master-sets/coalossal","Gigantamax Coalossal")</x:f>
        <x:v>HYPERLINK is not implemented. linkLocation=https://pokecottage.com/pokemon-master-sets/coalossal, friendlyName=Gigantamax Coalossal</x:v>
      </x:c>
      <x:c r="D1133" s="8" t="str">
        <x:v>Gigantamax</x:v>
      </x:c>
      <x:c r="E1133" s="8"/>
      <x:c r="F1133" s="8"/>
    </x:row>
    <x:row r="1134" ht="25" customHeight="1">
      <x:c r="A1134" s="13" t="str">
        <x:v>☐</x:v>
      </x:c>
      <x:c r="B1134" s="11" t="n">
        <x:v>840</x:v>
      </x:c>
      <x:c r="C1134" s="15" t="e">
        <x:f>HYPERLINK("https://pokecottage.com/pokemon-master-sets/applin","Applin")</x:f>
        <x:v>HYPERLINK is not implemented. linkLocation=https://pokecottage.com/pokemon-master-sets/applin, friendlyName=Applin</x:v>
      </x:c>
      <x:c r="D1134" s="7" t="str">
        <x:v>Gen 8 • Galar</x:v>
      </x:c>
      <x:c r="E1134" s="7"/>
      <x:c r="F1134" s="7"/>
    </x:row>
    <x:row r="1135" ht="25" customHeight="1">
      <x:c r="A1135" s="14" t="str">
        <x:v>☐</x:v>
      </x:c>
      <x:c r="B1135" s="12" t="n">
        <x:v>841</x:v>
      </x:c>
      <x:c r="C1135" s="16" t="e">
        <x:f>HYPERLINK("https://pokecottage.com/pokemon-master-sets/flapple","Flapple")</x:f>
        <x:v>HYPERLINK is not implemented. linkLocation=https://pokecottage.com/pokemon-master-sets/flapple, friendlyName=Flapple</x:v>
      </x:c>
      <x:c r="D1135" s="8" t="str">
        <x:v>Gen 8 • Galar</x:v>
      </x:c>
      <x:c r="E1135" s="8"/>
      <x:c r="F1135" s="8"/>
    </x:row>
    <x:row r="1136" ht="25" customHeight="1">
      <x:c r="A1136" s="13" t="str">
        <x:v>☐</x:v>
      </x:c>
      <x:c r="B1136" s="11" t="n">
        <x:v>841</x:v>
      </x:c>
      <x:c r="C1136" s="15" t="e">
        <x:f>HYPERLINK("https://pokecottage.com/pokemon-master-sets/flapple","Gigantamax Flapple")</x:f>
        <x:v>HYPERLINK is not implemented. linkLocation=https://pokecottage.com/pokemon-master-sets/flapple, friendlyName=Gigantamax Flapple</x:v>
      </x:c>
      <x:c r="D1136" s="7" t="str">
        <x:v>Gigantamax</x:v>
      </x:c>
      <x:c r="E1136" s="7"/>
      <x:c r="F1136" s="7"/>
    </x:row>
    <x:row r="1137" ht="25" customHeight="1">
      <x:c r="A1137" s="14" t="str">
        <x:v>☐</x:v>
      </x:c>
      <x:c r="B1137" s="12" t="n">
        <x:v>842</x:v>
      </x:c>
      <x:c r="C1137" s="16" t="e">
        <x:f>HYPERLINK("https://pokecottage.com/pokemon-master-sets/appletun","Appletun")</x:f>
        <x:v>HYPERLINK is not implemented. linkLocation=https://pokecottage.com/pokemon-master-sets/appletun, friendlyName=Appletun</x:v>
      </x:c>
      <x:c r="D1137" s="8" t="str">
        <x:v>Gen 8 • Galar</x:v>
      </x:c>
      <x:c r="E1137" s="8"/>
      <x:c r="F1137" s="8"/>
    </x:row>
    <x:row r="1138" ht="25" customHeight="1">
      <x:c r="A1138" s="13" t="str">
        <x:v>☐</x:v>
      </x:c>
      <x:c r="B1138" s="11" t="n">
        <x:v>842</x:v>
      </x:c>
      <x:c r="C1138" s="15" t="e">
        <x:f>HYPERLINK("https://pokecottage.com/pokemon-master-sets/appletun","Gigantamax Appletun")</x:f>
        <x:v>HYPERLINK is not implemented. linkLocation=https://pokecottage.com/pokemon-master-sets/appletun, friendlyName=Gigantamax Appletun</x:v>
      </x:c>
      <x:c r="D1138" s="7" t="str">
        <x:v>Gigantamax</x:v>
      </x:c>
      <x:c r="E1138" s="7"/>
      <x:c r="F1138" s="7"/>
    </x:row>
    <x:row r="1139" ht="25" customHeight="1">
      <x:c r="A1139" s="14" t="str">
        <x:v>☐</x:v>
      </x:c>
      <x:c r="B1139" s="12" t="n">
        <x:v>843</x:v>
      </x:c>
      <x:c r="C1139" s="16" t="e">
        <x:f>HYPERLINK("https://pokecottage.com/pokemon-master-sets/silicobra","Silicobra")</x:f>
        <x:v>HYPERLINK is not implemented. linkLocation=https://pokecottage.com/pokemon-master-sets/silicobra, friendlyName=Silicobra</x:v>
      </x:c>
      <x:c r="D1139" s="8" t="str">
        <x:v>Gen 8 • Galar</x:v>
      </x:c>
      <x:c r="E1139" s="8"/>
      <x:c r="F1139" s="8"/>
    </x:row>
    <x:row r="1140" ht="25" customHeight="1">
      <x:c r="A1140" s="13" t="str">
        <x:v>☐</x:v>
      </x:c>
      <x:c r="B1140" s="11" t="n">
        <x:v>844</x:v>
      </x:c>
      <x:c r="C1140" s="15" t="e">
        <x:f>HYPERLINK("https://pokecottage.com/pokemon-master-sets/sandaconda","Sandaconda")</x:f>
        <x:v>HYPERLINK is not implemented. linkLocation=https://pokecottage.com/pokemon-master-sets/sandaconda, friendlyName=Sandaconda</x:v>
      </x:c>
      <x:c r="D1140" s="7" t="str">
        <x:v>Gen 8 • Galar</x:v>
      </x:c>
      <x:c r="E1140" s="7"/>
      <x:c r="F1140" s="7"/>
    </x:row>
    <x:row r="1141" ht="25" customHeight="1">
      <x:c r="A1141" s="14" t="str">
        <x:v>☐</x:v>
      </x:c>
      <x:c r="B1141" s="12" t="n">
        <x:v>844</x:v>
      </x:c>
      <x:c r="C1141" s="16" t="e">
        <x:f>HYPERLINK("https://pokecottage.com/pokemon-master-sets/sandaconda","Gigantamax Sandaconda")</x:f>
        <x:v>HYPERLINK is not implemented. linkLocation=https://pokecottage.com/pokemon-master-sets/sandaconda, friendlyName=Gigantamax Sandaconda</x:v>
      </x:c>
      <x:c r="D1141" s="8" t="str">
        <x:v>Gigantamax</x:v>
      </x:c>
      <x:c r="E1141" s="8"/>
      <x:c r="F1141" s="8"/>
    </x:row>
    <x:row r="1142" ht="25" customHeight="1">
      <x:c r="A1142" s="13" t="str">
        <x:v>☐</x:v>
      </x:c>
      <x:c r="B1142" s="11" t="n">
        <x:v>845</x:v>
      </x:c>
      <x:c r="C1142" s="15" t="e">
        <x:f>HYPERLINK("https://pokecottage.com/pokemon-master-sets/cramorant","Cramorant")</x:f>
        <x:v>HYPERLINK is not implemented. linkLocation=https://pokecottage.com/pokemon-master-sets/cramorant, friendlyName=Cramorant</x:v>
      </x:c>
      <x:c r="D1142" s="7" t="str">
        <x:v>Gen 8 • Galar</x:v>
      </x:c>
      <x:c r="E1142" s="7"/>
      <x:c r="F1142" s="7"/>
    </x:row>
    <x:row r="1143" ht="25" customHeight="1">
      <x:c r="A1143" s="14" t="str">
        <x:v>☐</x:v>
      </x:c>
      <x:c r="B1143" s="12" t="n">
        <x:v>846</x:v>
      </x:c>
      <x:c r="C1143" s="16" t="e">
        <x:f>HYPERLINK("https://pokecottage.com/pokemon-master-sets/arrokuda","Arrokuda")</x:f>
        <x:v>HYPERLINK is not implemented. linkLocation=https://pokecottage.com/pokemon-master-sets/arrokuda, friendlyName=Arrokuda</x:v>
      </x:c>
      <x:c r="D1143" s="8" t="str">
        <x:v>Gen 8 • Galar</x:v>
      </x:c>
      <x:c r="E1143" s="8"/>
      <x:c r="F1143" s="8"/>
    </x:row>
    <x:row r="1144" ht="25" customHeight="1">
      <x:c r="A1144" s="13" t="str">
        <x:v>☐</x:v>
      </x:c>
      <x:c r="B1144" s="11" t="n">
        <x:v>847</x:v>
      </x:c>
      <x:c r="C1144" s="15" t="e">
        <x:f>HYPERLINK("https://pokecottage.com/pokemon-master-sets/barraskewda","Barraskewda")</x:f>
        <x:v>HYPERLINK is not implemented. linkLocation=https://pokecottage.com/pokemon-master-sets/barraskewda, friendlyName=Barraskewda</x:v>
      </x:c>
      <x:c r="D1144" s="7" t="str">
        <x:v>Gen 8 • Galar</x:v>
      </x:c>
      <x:c r="E1144" s="7"/>
      <x:c r="F1144" s="7"/>
    </x:row>
    <x:row r="1145" ht="25" customHeight="1">
      <x:c r="A1145" s="14" t="str">
        <x:v>☐</x:v>
      </x:c>
      <x:c r="B1145" s="12" t="n">
        <x:v>848</x:v>
      </x:c>
      <x:c r="C1145" s="16" t="e">
        <x:f>HYPERLINK("https://pokecottage.com/pokemon-master-sets/toxel","Toxel")</x:f>
        <x:v>HYPERLINK is not implemented. linkLocation=https://pokecottage.com/pokemon-master-sets/toxel, friendlyName=Toxel</x:v>
      </x:c>
      <x:c r="D1145" s="8" t="str">
        <x:v>Gen 8 • Galar</x:v>
      </x:c>
      <x:c r="E1145" s="8"/>
      <x:c r="F1145" s="8"/>
    </x:row>
    <x:row r="1146" ht="25" customHeight="1">
      <x:c r="A1146" s="13" t="str">
        <x:v>☐</x:v>
      </x:c>
      <x:c r="B1146" s="11" t="n">
        <x:v>849</x:v>
      </x:c>
      <x:c r="C1146" s="15" t="e">
        <x:f>HYPERLINK("https://pokecottage.com/pokemon-master-sets/toxtricity","Toxtricity (Amped Form)")</x:f>
        <x:v>HYPERLINK is not implemented. linkLocation=https://pokecottage.com/pokemon-master-sets/toxtricity, friendlyName=Toxtricity (Amped Form)</x:v>
      </x:c>
      <x:c r="D1146" s="7" t="str">
        <x:v>Other Form</x:v>
      </x:c>
      <x:c r="E1146" s="7"/>
      <x:c r="F1146" s="7"/>
    </x:row>
    <x:row r="1147" ht="25" customHeight="1">
      <x:c r="A1147" s="14" t="str">
        <x:v>☐</x:v>
      </x:c>
      <x:c r="B1147" s="12" t="n">
        <x:v>849</x:v>
      </x:c>
      <x:c r="C1147" s="16" t="e">
        <x:f>HYPERLINK("https://pokecottage.com/pokemon-master-sets/toxtricity","Toxtricity (Low Key Form)")</x:f>
        <x:v>HYPERLINK is not implemented. linkLocation=https://pokecottage.com/pokemon-master-sets/toxtricity, friendlyName=Toxtricity (Low Key Form)</x:v>
      </x:c>
      <x:c r="D1147" s="8" t="str">
        <x:v>Other Form</x:v>
      </x:c>
      <x:c r="E1147" s="8"/>
      <x:c r="F1147" s="8"/>
    </x:row>
    <x:row r="1148" ht="25" customHeight="1">
      <x:c r="A1148" s="13" t="str">
        <x:v>☐</x:v>
      </x:c>
      <x:c r="B1148" s="11" t="n">
        <x:v>849</x:v>
      </x:c>
      <x:c r="C1148" s="15" t="e">
        <x:f>HYPERLINK("https://pokecottage.com/pokemon-master-sets/toxtricity","Gigantamax Toxtricity")</x:f>
        <x:v>HYPERLINK is not implemented. linkLocation=https://pokecottage.com/pokemon-master-sets/toxtricity, friendlyName=Gigantamax Toxtricity</x:v>
      </x:c>
      <x:c r="D1148" s="7" t="str">
        <x:v>Gigantamax</x:v>
      </x:c>
      <x:c r="E1148" s="7"/>
      <x:c r="F1148" s="7"/>
    </x:row>
    <x:row r="1149" ht="25" customHeight="1">
      <x:c r="A1149" s="14" t="str">
        <x:v>☐</x:v>
      </x:c>
      <x:c r="B1149" s="12" t="n">
        <x:v>850</x:v>
      </x:c>
      <x:c r="C1149" s="16" t="e">
        <x:f>HYPERLINK("https://pokecottage.com/pokemon-master-sets/sizzlipede","Sizzlipede")</x:f>
        <x:v>HYPERLINK is not implemented. linkLocation=https://pokecottage.com/pokemon-master-sets/sizzlipede, friendlyName=Sizzlipede</x:v>
      </x:c>
      <x:c r="D1149" s="8" t="str">
        <x:v>Gen 8 • Galar</x:v>
      </x:c>
      <x:c r="E1149" s="8"/>
      <x:c r="F1149" s="8"/>
    </x:row>
    <x:row r="1150" ht="25" customHeight="1">
      <x:c r="A1150" s="13" t="str">
        <x:v>☐</x:v>
      </x:c>
      <x:c r="B1150" s="11" t="n">
        <x:v>851</x:v>
      </x:c>
      <x:c r="C1150" s="15" t="e">
        <x:f>HYPERLINK("https://pokecottage.com/pokemon-master-sets/centiskorch","Centiskorch")</x:f>
        <x:v>HYPERLINK is not implemented. linkLocation=https://pokecottage.com/pokemon-master-sets/centiskorch, friendlyName=Centiskorch</x:v>
      </x:c>
      <x:c r="D1150" s="7" t="str">
        <x:v>Gen 8 • Galar</x:v>
      </x:c>
      <x:c r="E1150" s="7"/>
      <x:c r="F1150" s="7"/>
    </x:row>
    <x:row r="1151" ht="25" customHeight="1">
      <x:c r="A1151" s="14" t="str">
        <x:v>☐</x:v>
      </x:c>
      <x:c r="B1151" s="12" t="n">
        <x:v>851</x:v>
      </x:c>
      <x:c r="C1151" s="16" t="e">
        <x:f>HYPERLINK("https://pokecottage.com/pokemon-master-sets/centiskorch","Gigantamax Centiskorch")</x:f>
        <x:v>HYPERLINK is not implemented. linkLocation=https://pokecottage.com/pokemon-master-sets/centiskorch, friendlyName=Gigantamax Centiskorch</x:v>
      </x:c>
      <x:c r="D1151" s="8" t="str">
        <x:v>Gigantamax</x:v>
      </x:c>
      <x:c r="E1151" s="8"/>
      <x:c r="F1151" s="8"/>
    </x:row>
    <x:row r="1152" ht="25" customHeight="1">
      <x:c r="A1152" s="13" t="str">
        <x:v>☐</x:v>
      </x:c>
      <x:c r="B1152" s="11" t="n">
        <x:v>852</x:v>
      </x:c>
      <x:c r="C1152" s="15" t="e">
        <x:f>HYPERLINK("https://pokecottage.com/pokemon-master-sets/clobbopus","Clobbopus")</x:f>
        <x:v>HYPERLINK is not implemented. linkLocation=https://pokecottage.com/pokemon-master-sets/clobbopus, friendlyName=Clobbopus</x:v>
      </x:c>
      <x:c r="D1152" s="7" t="str">
        <x:v>Gen 8 • Galar</x:v>
      </x:c>
      <x:c r="E1152" s="7"/>
      <x:c r="F1152" s="7"/>
    </x:row>
    <x:row r="1153" ht="25" customHeight="1">
      <x:c r="A1153" s="14" t="str">
        <x:v>☐</x:v>
      </x:c>
      <x:c r="B1153" s="12" t="n">
        <x:v>853</x:v>
      </x:c>
      <x:c r="C1153" s="16" t="e">
        <x:f>HYPERLINK("https://pokecottage.com/pokemon-master-sets/grapploct","Grapploct")</x:f>
        <x:v>HYPERLINK is not implemented. linkLocation=https://pokecottage.com/pokemon-master-sets/grapploct, friendlyName=Grapploct</x:v>
      </x:c>
      <x:c r="D1153" s="8" t="str">
        <x:v>Gen 8 • Galar</x:v>
      </x:c>
      <x:c r="E1153" s="8"/>
      <x:c r="F1153" s="8"/>
    </x:row>
    <x:row r="1154" ht="25" customHeight="1">
      <x:c r="A1154" s="13" t="str">
        <x:v>☐</x:v>
      </x:c>
      <x:c r="B1154" s="11" t="n">
        <x:v>854</x:v>
      </x:c>
      <x:c r="C1154" s="15" t="e">
        <x:f>HYPERLINK("https://pokecottage.com/pokemon-master-sets/sinistea","Sinistea")</x:f>
        <x:v>HYPERLINK is not implemented. linkLocation=https://pokecottage.com/pokemon-master-sets/sinistea, friendlyName=Sinistea</x:v>
      </x:c>
      <x:c r="D1154" s="7" t="str">
        <x:v>Gen 8 • Galar</x:v>
      </x:c>
      <x:c r="E1154" s="7"/>
      <x:c r="F1154" s="7"/>
    </x:row>
    <x:row r="1155" ht="25" customHeight="1">
      <x:c r="A1155" s="14" t="str">
        <x:v>☐</x:v>
      </x:c>
      <x:c r="B1155" s="12" t="n">
        <x:v>855</x:v>
      </x:c>
      <x:c r="C1155" s="16" t="e">
        <x:f>HYPERLINK("https://pokecottage.com/pokemon-master-sets/polteageist","Polteageist")</x:f>
        <x:v>HYPERLINK is not implemented. linkLocation=https://pokecottage.com/pokemon-master-sets/polteageist, friendlyName=Polteageist</x:v>
      </x:c>
      <x:c r="D1155" s="8" t="str">
        <x:v>Gen 8 • Galar</x:v>
      </x:c>
      <x:c r="E1155" s="8"/>
      <x:c r="F1155" s="8"/>
    </x:row>
    <x:row r="1156" ht="25" customHeight="1">
      <x:c r="A1156" s="13" t="str">
        <x:v>☐</x:v>
      </x:c>
      <x:c r="B1156" s="11" t="n">
        <x:v>856</x:v>
      </x:c>
      <x:c r="C1156" s="15" t="e">
        <x:f>HYPERLINK("https://pokecottage.com/pokemon-master-sets/hatenna","Hatenna")</x:f>
        <x:v>HYPERLINK is not implemented. linkLocation=https://pokecottage.com/pokemon-master-sets/hatenna, friendlyName=Hatenna</x:v>
      </x:c>
      <x:c r="D1156" s="7" t="str">
        <x:v>Gen 8 • Galar</x:v>
      </x:c>
      <x:c r="E1156" s="7"/>
      <x:c r="F1156" s="7"/>
    </x:row>
    <x:row r="1157" ht="25" customHeight="1">
      <x:c r="A1157" s="14" t="str">
        <x:v>☐</x:v>
      </x:c>
      <x:c r="B1157" s="12" t="n">
        <x:v>857</x:v>
      </x:c>
      <x:c r="C1157" s="16" t="e">
        <x:f>HYPERLINK("https://pokecottage.com/pokemon-master-sets/hattrem","Hattrem")</x:f>
        <x:v>HYPERLINK is not implemented. linkLocation=https://pokecottage.com/pokemon-master-sets/hattrem, friendlyName=Hattrem</x:v>
      </x:c>
      <x:c r="D1157" s="8" t="str">
        <x:v>Gen 8 • Galar</x:v>
      </x:c>
      <x:c r="E1157" s="8"/>
      <x:c r="F1157" s="8"/>
    </x:row>
    <x:row r="1158" ht="25" customHeight="1">
      <x:c r="A1158" s="13" t="str">
        <x:v>☐</x:v>
      </x:c>
      <x:c r="B1158" s="11" t="n">
        <x:v>858</x:v>
      </x:c>
      <x:c r="C1158" s="15" t="e">
        <x:f>HYPERLINK("https://pokecottage.com/pokemon-master-sets/hatterene","Hatterene")</x:f>
        <x:v>HYPERLINK is not implemented. linkLocation=https://pokecottage.com/pokemon-master-sets/hatterene, friendlyName=Hatterene</x:v>
      </x:c>
      <x:c r="D1158" s="7" t="str">
        <x:v>Gen 8 • Galar</x:v>
      </x:c>
      <x:c r="E1158" s="7"/>
      <x:c r="F1158" s="7"/>
    </x:row>
    <x:row r="1159" ht="25" customHeight="1">
      <x:c r="A1159" s="14" t="str">
        <x:v>☐</x:v>
      </x:c>
      <x:c r="B1159" s="12" t="n">
        <x:v>858</x:v>
      </x:c>
      <x:c r="C1159" s="16" t="e">
        <x:f>HYPERLINK("https://pokecottage.com/pokemon-master-sets/hatterene","Gigantamax Hatterene")</x:f>
        <x:v>HYPERLINK is not implemented. linkLocation=https://pokecottage.com/pokemon-master-sets/hatterene, friendlyName=Gigantamax Hatterene</x:v>
      </x:c>
      <x:c r="D1159" s="8" t="str">
        <x:v>Gigantamax</x:v>
      </x:c>
      <x:c r="E1159" s="8"/>
      <x:c r="F1159" s="8"/>
    </x:row>
    <x:row r="1160" ht="25" customHeight="1">
      <x:c r="A1160" s="13" t="str">
        <x:v>☐</x:v>
      </x:c>
      <x:c r="B1160" s="11" t="n">
        <x:v>859</x:v>
      </x:c>
      <x:c r="C1160" s="15" t="e">
        <x:f>HYPERLINK("https://pokecottage.com/pokemon-master-sets/impidimp","Impidimp")</x:f>
        <x:v>HYPERLINK is not implemented. linkLocation=https://pokecottage.com/pokemon-master-sets/impidimp, friendlyName=Impidimp</x:v>
      </x:c>
      <x:c r="D1160" s="7" t="str">
        <x:v>Gen 8 • Galar</x:v>
      </x:c>
      <x:c r="E1160" s="7"/>
      <x:c r="F1160" s="7"/>
    </x:row>
    <x:row r="1161" ht="25" customHeight="1">
      <x:c r="A1161" s="14" t="str">
        <x:v>☐</x:v>
      </x:c>
      <x:c r="B1161" s="12" t="n">
        <x:v>860</x:v>
      </x:c>
      <x:c r="C1161" s="16" t="e">
        <x:f>HYPERLINK("https://pokecottage.com/pokemon-master-sets/morgrem","Morgrem")</x:f>
        <x:v>HYPERLINK is not implemented. linkLocation=https://pokecottage.com/pokemon-master-sets/morgrem, friendlyName=Morgrem</x:v>
      </x:c>
      <x:c r="D1161" s="8" t="str">
        <x:v>Gen 8 • Galar</x:v>
      </x:c>
      <x:c r="E1161" s="8"/>
      <x:c r="F1161" s="8"/>
    </x:row>
    <x:row r="1162" ht="25" customHeight="1">
      <x:c r="A1162" s="13" t="str">
        <x:v>☐</x:v>
      </x:c>
      <x:c r="B1162" s="11" t="n">
        <x:v>861</x:v>
      </x:c>
      <x:c r="C1162" s="15" t="e">
        <x:f>HYPERLINK("https://pokecottage.com/pokemon-master-sets/grimmsnarl","Grimmsnarl")</x:f>
        <x:v>HYPERLINK is not implemented. linkLocation=https://pokecottage.com/pokemon-master-sets/grimmsnarl, friendlyName=Grimmsnarl</x:v>
      </x:c>
      <x:c r="D1162" s="7" t="str">
        <x:v>Gen 8 • Galar</x:v>
      </x:c>
      <x:c r="E1162" s="7"/>
      <x:c r="F1162" s="7"/>
    </x:row>
    <x:row r="1163" ht="25" customHeight="1">
      <x:c r="A1163" s="14" t="str">
        <x:v>☐</x:v>
      </x:c>
      <x:c r="B1163" s="12" t="n">
        <x:v>861</x:v>
      </x:c>
      <x:c r="C1163" s="16" t="e">
        <x:f>HYPERLINK("https://pokecottage.com/pokemon-master-sets/grimmsnarl","Gigantamax Grimmsnarl")</x:f>
        <x:v>HYPERLINK is not implemented. linkLocation=https://pokecottage.com/pokemon-master-sets/grimmsnarl, friendlyName=Gigantamax Grimmsnarl</x:v>
      </x:c>
      <x:c r="D1163" s="8" t="str">
        <x:v>Gigantamax</x:v>
      </x:c>
      <x:c r="E1163" s="8"/>
      <x:c r="F1163" s="8"/>
    </x:row>
    <x:row r="1164" ht="25" customHeight="1">
      <x:c r="A1164" s="13" t="str">
        <x:v>☐</x:v>
      </x:c>
      <x:c r="B1164" s="11" t="n">
        <x:v>862</x:v>
      </x:c>
      <x:c r="C1164" s="15" t="e">
        <x:f>HYPERLINK("https://pokecottage.com/pokemon-master-sets/obstagoon","Obstagoon")</x:f>
        <x:v>HYPERLINK is not implemented. linkLocation=https://pokecottage.com/pokemon-master-sets/obstagoon, friendlyName=Obstagoon</x:v>
      </x:c>
      <x:c r="D1164" s="7" t="str">
        <x:v>Gen 8 • Galar</x:v>
      </x:c>
      <x:c r="E1164" s="7"/>
      <x:c r="F1164" s="7"/>
    </x:row>
    <x:row r="1165" ht="25" customHeight="1">
      <x:c r="A1165" s="14" t="str">
        <x:v>☐</x:v>
      </x:c>
      <x:c r="B1165" s="12" t="n">
        <x:v>863</x:v>
      </x:c>
      <x:c r="C1165" s="16" t="e">
        <x:f>HYPERLINK("https://pokecottage.com/pokemon-master-sets/perrserker","Perrserker")</x:f>
        <x:v>HYPERLINK is not implemented. linkLocation=https://pokecottage.com/pokemon-master-sets/perrserker, friendlyName=Perrserker</x:v>
      </x:c>
      <x:c r="D1165" s="8" t="str">
        <x:v>Gen 8 • Galar</x:v>
      </x:c>
      <x:c r="E1165" s="8"/>
      <x:c r="F1165" s="8"/>
    </x:row>
    <x:row r="1166" ht="25" customHeight="1">
      <x:c r="A1166" s="13" t="str">
        <x:v>☐</x:v>
      </x:c>
      <x:c r="B1166" s="11" t="n">
        <x:v>864</x:v>
      </x:c>
      <x:c r="C1166" s="15" t="e">
        <x:f>HYPERLINK("https://pokecottage.com/pokemon-master-sets/cursola","Cursola")</x:f>
        <x:v>HYPERLINK is not implemented. linkLocation=https://pokecottage.com/pokemon-master-sets/cursola, friendlyName=Cursola</x:v>
      </x:c>
      <x:c r="D1166" s="7" t="str">
        <x:v>Gen 8 • Galar</x:v>
      </x:c>
      <x:c r="E1166" s="7"/>
      <x:c r="F1166" s="7"/>
    </x:row>
    <x:row r="1167" ht="25" customHeight="1">
      <x:c r="A1167" s="14" t="str">
        <x:v>☐</x:v>
      </x:c>
      <x:c r="B1167" s="12" t="n">
        <x:v>865</x:v>
      </x:c>
      <x:c r="C1167" s="16" t="e">
        <x:f>HYPERLINK("https://pokecottage.com/pokemon-master-sets/sirfetch-d","Sirfetch'd")</x:f>
        <x:v>HYPERLINK is not implemented. linkLocation=https://pokecottage.com/pokemon-master-sets/sirfetch-d, friendlyName=Sirfetch'd</x:v>
      </x:c>
      <x:c r="D1167" s="8" t="str">
        <x:v>Gen 8 • Galar</x:v>
      </x:c>
      <x:c r="E1167" s="8"/>
      <x:c r="F1167" s="8"/>
    </x:row>
    <x:row r="1168" ht="25" customHeight="1">
      <x:c r="A1168" s="13" t="str">
        <x:v>☐</x:v>
      </x:c>
      <x:c r="B1168" s="11" t="n">
        <x:v>866</x:v>
      </x:c>
      <x:c r="C1168" s="15" t="e">
        <x:f>HYPERLINK("https://pokecottage.com/pokemon-master-sets/mr-rime","Mr. Rime")</x:f>
        <x:v>HYPERLINK is not implemented. linkLocation=https://pokecottage.com/pokemon-master-sets/mr-rime, friendlyName=Mr. Rime</x:v>
      </x:c>
      <x:c r="D1168" s="7" t="str">
        <x:v>Gen 8 • Galar</x:v>
      </x:c>
      <x:c r="E1168" s="7"/>
      <x:c r="F1168" s="7"/>
    </x:row>
    <x:row r="1169" ht="25" customHeight="1">
      <x:c r="A1169" s="14" t="str">
        <x:v>☐</x:v>
      </x:c>
      <x:c r="B1169" s="12" t="n">
        <x:v>867</x:v>
      </x:c>
      <x:c r="C1169" s="16" t="e">
        <x:f>HYPERLINK("https://pokecottage.com/pokemon-master-sets/runerigus","Runerigus")</x:f>
        <x:v>HYPERLINK is not implemented. linkLocation=https://pokecottage.com/pokemon-master-sets/runerigus, friendlyName=Runerigus</x:v>
      </x:c>
      <x:c r="D1169" s="8" t="str">
        <x:v>Gen 8 • Galar</x:v>
      </x:c>
      <x:c r="E1169" s="8"/>
      <x:c r="F1169" s="8"/>
    </x:row>
    <x:row r="1170" ht="25" customHeight="1">
      <x:c r="A1170" s="13" t="str">
        <x:v>☐</x:v>
      </x:c>
      <x:c r="B1170" s="11" t="n">
        <x:v>868</x:v>
      </x:c>
      <x:c r="C1170" s="15" t="e">
        <x:f>HYPERLINK("https://pokecottage.com/pokemon-master-sets/milcery","Milcery")</x:f>
        <x:v>HYPERLINK is not implemented. linkLocation=https://pokecottage.com/pokemon-master-sets/milcery, friendlyName=Milcery</x:v>
      </x:c>
      <x:c r="D1170" s="7" t="str">
        <x:v>Gen 8 • Galar</x:v>
      </x:c>
      <x:c r="E1170" s="7"/>
      <x:c r="F1170" s="7"/>
    </x:row>
    <x:row r="1171" ht="25" customHeight="1">
      <x:c r="A1171" s="14" t="str">
        <x:v>☐</x:v>
      </x:c>
      <x:c r="B1171" s="12" t="n">
        <x:v>869</x:v>
      </x:c>
      <x:c r="C1171" s="16" t="e">
        <x:f>HYPERLINK("https://pokecottage.com/pokemon-master-sets/alcremie","Alcremie")</x:f>
        <x:v>HYPERLINK is not implemented. linkLocation=https://pokecottage.com/pokemon-master-sets/alcremie, friendlyName=Alcremie</x:v>
      </x:c>
      <x:c r="D1171" s="8" t="str">
        <x:v>Gen 8 • Galar</x:v>
      </x:c>
      <x:c r="E1171" s="8"/>
      <x:c r="F1171" s="8"/>
    </x:row>
    <x:row r="1172" ht="25" customHeight="1">
      <x:c r="A1172" s="13" t="str">
        <x:v>☐</x:v>
      </x:c>
      <x:c r="B1172" s="11" t="n">
        <x:v>869</x:v>
      </x:c>
      <x:c r="C1172" s="15" t="e">
        <x:f>HYPERLINK("https://pokecottage.com/pokemon-master-sets/alcremie","Gigantamax Alcremie")</x:f>
        <x:v>HYPERLINK is not implemented. linkLocation=https://pokecottage.com/pokemon-master-sets/alcremie, friendlyName=Gigantamax Alcremie</x:v>
      </x:c>
      <x:c r="D1172" s="7" t="str">
        <x:v>Gigantamax</x:v>
      </x:c>
      <x:c r="E1172" s="7"/>
      <x:c r="F1172" s="7"/>
    </x:row>
    <x:row r="1173" ht="25" customHeight="1">
      <x:c r="A1173" s="14" t="str">
        <x:v>☐</x:v>
      </x:c>
      <x:c r="B1173" s="12" t="n">
        <x:v>870</x:v>
      </x:c>
      <x:c r="C1173" s="16" t="e">
        <x:f>HYPERLINK("https://pokecottage.com/pokemon-master-sets/falinks","Falinks")</x:f>
        <x:v>HYPERLINK is not implemented. linkLocation=https://pokecottage.com/pokemon-master-sets/falinks, friendlyName=Falinks</x:v>
      </x:c>
      <x:c r="D1173" s="8" t="str">
        <x:v>Gen 8 • Galar</x:v>
      </x:c>
      <x:c r="E1173" s="8"/>
      <x:c r="F1173" s="8"/>
    </x:row>
    <x:row r="1174" ht="25" customHeight="1">
      <x:c r="A1174" s="13" t="str">
        <x:v>☐</x:v>
      </x:c>
      <x:c r="B1174" s="11" t="n">
        <x:v>870</x:v>
      </x:c>
      <x:c r="C1174" s="15" t="e">
        <x:f>HYPERLINK("https://pokecottage.com/pokemon-master-sets/falinks","Mega Falinks")</x:f>
        <x:v>HYPERLINK is not implemented. linkLocation=https://pokecottage.com/pokemon-master-sets/falinks, friendlyName=Mega Falinks</x:v>
      </x:c>
      <x:c r="D1174" s="7" t="str">
        <x:v>Mega Evolution</x:v>
      </x:c>
      <x:c r="E1174" s="7"/>
      <x:c r="F1174" s="7"/>
    </x:row>
    <x:row r="1175" ht="25" customHeight="1">
      <x:c r="A1175" s="14" t="str">
        <x:v>☐</x:v>
      </x:c>
      <x:c r="B1175" s="12" t="n">
        <x:v>871</x:v>
      </x:c>
      <x:c r="C1175" s="16" t="e">
        <x:f>HYPERLINK("https://pokecottage.com/pokemon-master-sets/pincurchin","Pincurchin")</x:f>
        <x:v>HYPERLINK is not implemented. linkLocation=https://pokecottage.com/pokemon-master-sets/pincurchin, friendlyName=Pincurchin</x:v>
      </x:c>
      <x:c r="D1175" s="8" t="str">
        <x:v>Gen 8 • Galar</x:v>
      </x:c>
      <x:c r="E1175" s="8"/>
      <x:c r="F1175" s="8"/>
    </x:row>
    <x:row r="1176" ht="25" customHeight="1">
      <x:c r="A1176" s="13" t="str">
        <x:v>☐</x:v>
      </x:c>
      <x:c r="B1176" s="11" t="n">
        <x:v>872</x:v>
      </x:c>
      <x:c r="C1176" s="15" t="e">
        <x:f>HYPERLINK("https://pokecottage.com/pokemon-master-sets/snom","Snom")</x:f>
        <x:v>HYPERLINK is not implemented. linkLocation=https://pokecottage.com/pokemon-master-sets/snom, friendlyName=Snom</x:v>
      </x:c>
      <x:c r="D1176" s="7" t="str">
        <x:v>Gen 8 • Galar</x:v>
      </x:c>
      <x:c r="E1176" s="7"/>
      <x:c r="F1176" s="7"/>
    </x:row>
    <x:row r="1177" ht="25" customHeight="1">
      <x:c r="A1177" s="14" t="str">
        <x:v>☐</x:v>
      </x:c>
      <x:c r="B1177" s="12" t="n">
        <x:v>873</x:v>
      </x:c>
      <x:c r="C1177" s="16" t="e">
        <x:f>HYPERLINK("https://pokecottage.com/pokemon-master-sets/frosmoth","Frosmoth")</x:f>
        <x:v>HYPERLINK is not implemented. linkLocation=https://pokecottage.com/pokemon-master-sets/frosmoth, friendlyName=Frosmoth</x:v>
      </x:c>
      <x:c r="D1177" s="8" t="str">
        <x:v>Gen 8 • Galar</x:v>
      </x:c>
      <x:c r="E1177" s="8"/>
      <x:c r="F1177" s="8"/>
    </x:row>
    <x:row r="1178" ht="25" customHeight="1">
      <x:c r="A1178" s="13" t="str">
        <x:v>☐</x:v>
      </x:c>
      <x:c r="B1178" s="11" t="n">
        <x:v>874</x:v>
      </x:c>
      <x:c r="C1178" s="15" t="e">
        <x:f>HYPERLINK("https://pokecottage.com/pokemon-master-sets/stonjourner","Stonjourner")</x:f>
        <x:v>HYPERLINK is not implemented. linkLocation=https://pokecottage.com/pokemon-master-sets/stonjourner, friendlyName=Stonjourner</x:v>
      </x:c>
      <x:c r="D1178" s="7" t="str">
        <x:v>Gen 8 • Galar</x:v>
      </x:c>
      <x:c r="E1178" s="7"/>
      <x:c r="F1178" s="7"/>
    </x:row>
    <x:row r="1179" ht="25" customHeight="1">
      <x:c r="A1179" s="14" t="str">
        <x:v>☐</x:v>
      </x:c>
      <x:c r="B1179" s="12" t="n">
        <x:v>875</x:v>
      </x:c>
      <x:c r="C1179" s="16" t="e">
        <x:f>HYPERLINK("https://pokecottage.com/pokemon-master-sets/eiscue","Eiscue (Ice Face)")</x:f>
        <x:v>HYPERLINK is not implemented. linkLocation=https://pokecottage.com/pokemon-master-sets/eiscue, friendlyName=Eiscue (Ice Face)</x:v>
      </x:c>
      <x:c r="D1179" s="8" t="str">
        <x:v>Other Form</x:v>
      </x:c>
      <x:c r="E1179" s="8"/>
      <x:c r="F1179" s="8"/>
    </x:row>
    <x:row r="1180" ht="25" customHeight="1">
      <x:c r="A1180" s="13" t="str">
        <x:v>☐</x:v>
      </x:c>
      <x:c r="B1180" s="11" t="n">
        <x:v>875</x:v>
      </x:c>
      <x:c r="C1180" s="15" t="e">
        <x:f>HYPERLINK("https://pokecottage.com/pokemon-master-sets/eiscue","Eiscue (Noice Face)")</x:f>
        <x:v>HYPERLINK is not implemented. linkLocation=https://pokecottage.com/pokemon-master-sets/eiscue, friendlyName=Eiscue (Noice Face)</x:v>
      </x:c>
      <x:c r="D1180" s="7" t="str">
        <x:v>Other Form</x:v>
      </x:c>
      <x:c r="E1180" s="7"/>
      <x:c r="F1180" s="7"/>
    </x:row>
    <x:row r="1181" ht="25" customHeight="1">
      <x:c r="A1181" s="14" t="str">
        <x:v>☐</x:v>
      </x:c>
      <x:c r="B1181" s="12" t="n">
        <x:v>876</x:v>
      </x:c>
      <x:c r="C1181" s="16" t="e">
        <x:f>HYPERLINK("https://pokecottage.com/pokemon-master-sets/indeedee","Indeedee (Male)")</x:f>
        <x:v>HYPERLINK is not implemented. linkLocation=https://pokecottage.com/pokemon-master-sets/indeedee, friendlyName=Indeedee (Male)</x:v>
      </x:c>
      <x:c r="D1181" s="8" t="str">
        <x:v>Other Form</x:v>
      </x:c>
      <x:c r="E1181" s="8"/>
      <x:c r="F1181" s="8"/>
    </x:row>
    <x:row r="1182" ht="25" customHeight="1">
      <x:c r="A1182" s="13" t="str">
        <x:v>☐</x:v>
      </x:c>
      <x:c r="B1182" s="11" t="n">
        <x:v>876</x:v>
      </x:c>
      <x:c r="C1182" s="15" t="e">
        <x:f>HYPERLINK("https://pokecottage.com/pokemon-master-sets/indeedee","Indeedee (Female)")</x:f>
        <x:v>HYPERLINK is not implemented. linkLocation=https://pokecottage.com/pokemon-master-sets/indeedee, friendlyName=Indeedee (Female)</x:v>
      </x:c>
      <x:c r="D1182" s="7" t="str">
        <x:v>Other Form</x:v>
      </x:c>
      <x:c r="E1182" s="7"/>
      <x:c r="F1182" s="7"/>
    </x:row>
    <x:row r="1183" ht="25" customHeight="1">
      <x:c r="A1183" s="14" t="str">
        <x:v>☐</x:v>
      </x:c>
      <x:c r="B1183" s="12" t="n">
        <x:v>877</x:v>
      </x:c>
      <x:c r="C1183" s="16" t="e">
        <x:f>HYPERLINK("https://pokecottage.com/pokemon-master-sets/morpeko","Morpeko (Full Belly Mode)")</x:f>
        <x:v>HYPERLINK is not implemented. linkLocation=https://pokecottage.com/pokemon-master-sets/morpeko, friendlyName=Morpeko (Full Belly Mode)</x:v>
      </x:c>
      <x:c r="D1183" s="8" t="str">
        <x:v>Other Form</x:v>
      </x:c>
      <x:c r="E1183" s="8"/>
      <x:c r="F1183" s="8"/>
    </x:row>
    <x:row r="1184" ht="25" customHeight="1">
      <x:c r="A1184" s="13" t="str">
        <x:v>☐</x:v>
      </x:c>
      <x:c r="B1184" s="11" t="n">
        <x:v>877</x:v>
      </x:c>
      <x:c r="C1184" s="15" t="e">
        <x:f>HYPERLINK("https://pokecottage.com/pokemon-master-sets/morpeko","Morpeko (Hangry Mode)")</x:f>
        <x:v>HYPERLINK is not implemented. linkLocation=https://pokecottage.com/pokemon-master-sets/morpeko, friendlyName=Morpeko (Hangry Mode)</x:v>
      </x:c>
      <x:c r="D1184" s="7" t="str">
        <x:v>Other Form</x:v>
      </x:c>
      <x:c r="E1184" s="7"/>
      <x:c r="F1184" s="7"/>
    </x:row>
    <x:row r="1185" ht="25" customHeight="1">
      <x:c r="A1185" s="14" t="str">
        <x:v>☐</x:v>
      </x:c>
      <x:c r="B1185" s="12" t="n">
        <x:v>878</x:v>
      </x:c>
      <x:c r="C1185" s="16" t="e">
        <x:f>HYPERLINK("https://pokecottage.com/pokemon-master-sets/cufant","Cufant")</x:f>
        <x:v>HYPERLINK is not implemented. linkLocation=https://pokecottage.com/pokemon-master-sets/cufant, friendlyName=Cufant</x:v>
      </x:c>
      <x:c r="D1185" s="8" t="str">
        <x:v>Gen 8 • Galar</x:v>
      </x:c>
      <x:c r="E1185" s="8"/>
      <x:c r="F1185" s="8"/>
    </x:row>
    <x:row r="1186" ht="25" customHeight="1">
      <x:c r="A1186" s="13" t="str">
        <x:v>☐</x:v>
      </x:c>
      <x:c r="B1186" s="11" t="n">
        <x:v>879</x:v>
      </x:c>
      <x:c r="C1186" s="15" t="e">
        <x:f>HYPERLINK("https://pokecottage.com/pokemon-master-sets/copperajah","Copperajah")</x:f>
        <x:v>HYPERLINK is not implemented. linkLocation=https://pokecottage.com/pokemon-master-sets/copperajah, friendlyName=Copperajah</x:v>
      </x:c>
      <x:c r="D1186" s="7" t="str">
        <x:v>Gen 8 • Galar</x:v>
      </x:c>
      <x:c r="E1186" s="7"/>
      <x:c r="F1186" s="7"/>
    </x:row>
    <x:row r="1187" ht="25" customHeight="1">
      <x:c r="A1187" s="14" t="str">
        <x:v>☐</x:v>
      </x:c>
      <x:c r="B1187" s="12" t="n">
        <x:v>879</x:v>
      </x:c>
      <x:c r="C1187" s="16" t="e">
        <x:f>HYPERLINK("https://pokecottage.com/pokemon-master-sets/copperajah","Gigantamax Copperajah")</x:f>
        <x:v>HYPERLINK is not implemented. linkLocation=https://pokecottage.com/pokemon-master-sets/copperajah, friendlyName=Gigantamax Copperajah</x:v>
      </x:c>
      <x:c r="D1187" s="8" t="str">
        <x:v>Gigantamax</x:v>
      </x:c>
      <x:c r="E1187" s="8"/>
      <x:c r="F1187" s="8"/>
    </x:row>
    <x:row r="1188" ht="25" customHeight="1">
      <x:c r="A1188" s="13" t="str">
        <x:v>☐</x:v>
      </x:c>
      <x:c r="B1188" s="11" t="n">
        <x:v>880</x:v>
      </x:c>
      <x:c r="C1188" s="15" t="e">
        <x:f>HYPERLINK("https://pokecottage.com/pokemon-master-sets/dracozolt","Dracozolt")</x:f>
        <x:v>HYPERLINK is not implemented. linkLocation=https://pokecottage.com/pokemon-master-sets/dracozolt, friendlyName=Dracozolt</x:v>
      </x:c>
      <x:c r="D1188" s="7" t="str">
        <x:v>Gen 8 • Galar</x:v>
      </x:c>
      <x:c r="E1188" s="7"/>
      <x:c r="F1188" s="7"/>
    </x:row>
    <x:row r="1189" ht="25" customHeight="1">
      <x:c r="A1189" s="14" t="str">
        <x:v>☐</x:v>
      </x:c>
      <x:c r="B1189" s="12" t="n">
        <x:v>881</x:v>
      </x:c>
      <x:c r="C1189" s="16" t="e">
        <x:f>HYPERLINK("https://pokecottage.com/pokemon-master-sets/arctozolt","Arctozolt")</x:f>
        <x:v>HYPERLINK is not implemented. linkLocation=https://pokecottage.com/pokemon-master-sets/arctozolt, friendlyName=Arctozolt</x:v>
      </x:c>
      <x:c r="D1189" s="8" t="str">
        <x:v>Gen 8 • Galar</x:v>
      </x:c>
      <x:c r="E1189" s="8"/>
      <x:c r="F1189" s="8"/>
    </x:row>
    <x:row r="1190" ht="25" customHeight="1">
      <x:c r="A1190" s="13" t="str">
        <x:v>☐</x:v>
      </x:c>
      <x:c r="B1190" s="11" t="n">
        <x:v>882</x:v>
      </x:c>
      <x:c r="C1190" s="15" t="e">
        <x:f>HYPERLINK("https://pokecottage.com/pokemon-master-sets/dracovish","Dracovish")</x:f>
        <x:v>HYPERLINK is not implemented. linkLocation=https://pokecottage.com/pokemon-master-sets/dracovish, friendlyName=Dracovish</x:v>
      </x:c>
      <x:c r="D1190" s="7" t="str">
        <x:v>Gen 8 • Galar</x:v>
      </x:c>
      <x:c r="E1190" s="7"/>
      <x:c r="F1190" s="7"/>
    </x:row>
    <x:row r="1191" ht="25" customHeight="1">
      <x:c r="A1191" s="14" t="str">
        <x:v>☐</x:v>
      </x:c>
      <x:c r="B1191" s="12" t="n">
        <x:v>883</x:v>
      </x:c>
      <x:c r="C1191" s="16" t="e">
        <x:f>HYPERLINK("https://pokecottage.com/pokemon-master-sets/arctovish","Arctovish")</x:f>
        <x:v>HYPERLINK is not implemented. linkLocation=https://pokecottage.com/pokemon-master-sets/arctovish, friendlyName=Arctovish</x:v>
      </x:c>
      <x:c r="D1191" s="8" t="str">
        <x:v>Gen 8 • Galar</x:v>
      </x:c>
      <x:c r="E1191" s="8"/>
      <x:c r="F1191" s="8"/>
    </x:row>
    <x:row r="1192" ht="25" customHeight="1">
      <x:c r="A1192" s="13" t="str">
        <x:v>☐</x:v>
      </x:c>
      <x:c r="B1192" s="11" t="n">
        <x:v>884</x:v>
      </x:c>
      <x:c r="C1192" s="15" t="e">
        <x:f>HYPERLINK("https://pokecottage.com/pokemon-master-sets/duraludon","Duraludon")</x:f>
        <x:v>HYPERLINK is not implemented. linkLocation=https://pokecottage.com/pokemon-master-sets/duraludon, friendlyName=Duraludon</x:v>
      </x:c>
      <x:c r="D1192" s="7" t="str">
        <x:v>Gen 8 • Galar</x:v>
      </x:c>
      <x:c r="E1192" s="7"/>
      <x:c r="F1192" s="7"/>
    </x:row>
    <x:row r="1193" ht="25" customHeight="1">
      <x:c r="A1193" s="14" t="str">
        <x:v>☐</x:v>
      </x:c>
      <x:c r="B1193" s="12" t="n">
        <x:v>884</x:v>
      </x:c>
      <x:c r="C1193" s="16" t="e">
        <x:f>HYPERLINK("https://pokecottage.com/pokemon-master-sets/duraludon","Gigantamax Duraludon")</x:f>
        <x:v>HYPERLINK is not implemented. linkLocation=https://pokecottage.com/pokemon-master-sets/duraludon, friendlyName=Gigantamax Duraludon</x:v>
      </x:c>
      <x:c r="D1193" s="8" t="str">
        <x:v>Gigantamax</x:v>
      </x:c>
      <x:c r="E1193" s="8"/>
      <x:c r="F1193" s="8"/>
    </x:row>
    <x:row r="1194" ht="25" customHeight="1">
      <x:c r="A1194" s="13" t="str">
        <x:v>☐</x:v>
      </x:c>
      <x:c r="B1194" s="11" t="n">
        <x:v>885</x:v>
      </x:c>
      <x:c r="C1194" s="15" t="e">
        <x:f>HYPERLINK("https://pokecottage.com/pokemon-master-sets/dreepy","Dreepy")</x:f>
        <x:v>HYPERLINK is not implemented. linkLocation=https://pokecottage.com/pokemon-master-sets/dreepy, friendlyName=Dreepy</x:v>
      </x:c>
      <x:c r="D1194" s="7" t="str">
        <x:v>Gen 8 • Galar</x:v>
      </x:c>
      <x:c r="E1194" s="7"/>
      <x:c r="F1194" s="7"/>
    </x:row>
    <x:row r="1195" ht="25" customHeight="1">
      <x:c r="A1195" s="14" t="str">
        <x:v>☐</x:v>
      </x:c>
      <x:c r="B1195" s="12" t="n">
        <x:v>886</x:v>
      </x:c>
      <x:c r="C1195" s="16" t="e">
        <x:f>HYPERLINK("https://pokecottage.com/pokemon-master-sets/drakloak","Drakloak")</x:f>
        <x:v>HYPERLINK is not implemented. linkLocation=https://pokecottage.com/pokemon-master-sets/drakloak, friendlyName=Drakloak</x:v>
      </x:c>
      <x:c r="D1195" s="8" t="str">
        <x:v>Gen 8 • Galar</x:v>
      </x:c>
      <x:c r="E1195" s="8"/>
      <x:c r="F1195" s="8"/>
    </x:row>
    <x:row r="1196" ht="25" customHeight="1">
      <x:c r="A1196" s="13" t="str">
        <x:v>☐</x:v>
      </x:c>
      <x:c r="B1196" s="11" t="n">
        <x:v>887</x:v>
      </x:c>
      <x:c r="C1196" s="15" t="e">
        <x:f>HYPERLINK("https://pokecottage.com/pokemon-master-sets/dragapult","Dragapult")</x:f>
        <x:v>HYPERLINK is not implemented. linkLocation=https://pokecottage.com/pokemon-master-sets/dragapult, friendlyName=Dragapult</x:v>
      </x:c>
      <x:c r="D1196" s="7" t="str">
        <x:v>Gen 8 • Galar</x:v>
      </x:c>
      <x:c r="E1196" s="7"/>
      <x:c r="F1196" s="7"/>
    </x:row>
    <x:row r="1197" ht="25" customHeight="1">
      <x:c r="A1197" s="14" t="str">
        <x:v>☐</x:v>
      </x:c>
      <x:c r="B1197" s="12" t="n">
        <x:v>888</x:v>
      </x:c>
      <x:c r="C1197" s="16" t="e">
        <x:f>HYPERLINK("https://pokecottage.com/pokemon-master-sets/zacian","Zacian")</x:f>
        <x:v>HYPERLINK is not implemented. linkLocation=https://pokecottage.com/pokemon-master-sets/zacian, friendlyName=Zacian</x:v>
      </x:c>
      <x:c r="D1197" s="8" t="str">
        <x:v>Gen 8 • Galar</x:v>
      </x:c>
      <x:c r="E1197" s="8"/>
      <x:c r="F1197" s="8"/>
    </x:row>
    <x:row r="1198" ht="25" customHeight="1">
      <x:c r="A1198" s="13" t="str">
        <x:v>☐</x:v>
      </x:c>
      <x:c r="B1198" s="11" t="n">
        <x:v>889</x:v>
      </x:c>
      <x:c r="C1198" s="15" t="e">
        <x:f>HYPERLINK("https://pokecottage.com/pokemon-master-sets/zamazenta","Zamazenta")</x:f>
        <x:v>HYPERLINK is not implemented. linkLocation=https://pokecottage.com/pokemon-master-sets/zamazenta, friendlyName=Zamazenta</x:v>
      </x:c>
      <x:c r="D1198" s="7" t="str">
        <x:v>Gen 8 • Galar</x:v>
      </x:c>
      <x:c r="E1198" s="7"/>
      <x:c r="F1198" s="7"/>
    </x:row>
    <x:row r="1199" ht="25" customHeight="1">
      <x:c r="A1199" s="14" t="str">
        <x:v>☐</x:v>
      </x:c>
      <x:c r="B1199" s="12" t="n">
        <x:v>890</x:v>
      </x:c>
      <x:c r="C1199" s="16" t="e">
        <x:f>HYPERLINK("https://pokecottage.com/pokemon-master-sets/eternatus","Eternatus")</x:f>
        <x:v>HYPERLINK is not implemented. linkLocation=https://pokecottage.com/pokemon-master-sets/eternatus, friendlyName=Eternatus</x:v>
      </x:c>
      <x:c r="D1199" s="8" t="str">
        <x:v>Other Form</x:v>
      </x:c>
      <x:c r="E1199" s="8"/>
      <x:c r="F1199" s="8"/>
    </x:row>
    <x:row r="1200" ht="25" customHeight="1">
      <x:c r="A1200" s="13" t="str">
        <x:v>☐</x:v>
      </x:c>
      <x:c r="B1200" s="11" t="n">
        <x:v>890</x:v>
      </x:c>
      <x:c r="C1200" s="15" t="e">
        <x:f>HYPERLINK("https://pokecottage.com/pokemon-master-sets/eternatus","Eternamax Eternatus")</x:f>
        <x:v>HYPERLINK is not implemented. linkLocation=https://pokecottage.com/pokemon-master-sets/eternatus, friendlyName=Eternamax Eternatus</x:v>
      </x:c>
      <x:c r="D1200" s="7" t="str">
        <x:v>Other Form</x:v>
      </x:c>
      <x:c r="E1200" s="7"/>
      <x:c r="F1200" s="7"/>
    </x:row>
    <x:row r="1201" ht="25" customHeight="1">
      <x:c r="A1201" s="14" t="str">
        <x:v>☐</x:v>
      </x:c>
      <x:c r="B1201" s="12" t="n">
        <x:v>891</x:v>
      </x:c>
      <x:c r="C1201" s="16" t="e">
        <x:f>HYPERLINK("https://pokecottage.com/pokemon-master-sets/kubfu","Kubfu")</x:f>
        <x:v>HYPERLINK is not implemented. linkLocation=https://pokecottage.com/pokemon-master-sets/kubfu, friendlyName=Kubfu</x:v>
      </x:c>
      <x:c r="D1201" s="8" t="str">
        <x:v>Gen 8 • Galar</x:v>
      </x:c>
      <x:c r="E1201" s="8"/>
      <x:c r="F1201" s="8"/>
    </x:row>
    <x:row r="1202" ht="25" customHeight="1">
      <x:c r="A1202" s="13" t="str">
        <x:v>☐</x:v>
      </x:c>
      <x:c r="B1202" s="11" t="n">
        <x:v>892</x:v>
      </x:c>
      <x:c r="C1202" s="15" t="e">
        <x:f>HYPERLINK("https://pokecottage.com/pokemon-master-sets/urshifu","Urshifu (Single Strike Style)")</x:f>
        <x:v>HYPERLINK is not implemented. linkLocation=https://pokecottage.com/pokemon-master-sets/urshifu, friendlyName=Urshifu (Single Strike Style)</x:v>
      </x:c>
      <x:c r="D1202" s="7" t="str">
        <x:v>Other Form</x:v>
      </x:c>
      <x:c r="E1202" s="7"/>
      <x:c r="F1202" s="7"/>
    </x:row>
    <x:row r="1203" ht="25" customHeight="1">
      <x:c r="A1203" s="14" t="str">
        <x:v>☐</x:v>
      </x:c>
      <x:c r="B1203" s="12" t="n">
        <x:v>892</x:v>
      </x:c>
      <x:c r="C1203" s="16" t="e">
        <x:f>HYPERLINK("https://pokecottage.com/pokemon-master-sets/urshifu","Urshifu (Rapid Strike Style)")</x:f>
        <x:v>HYPERLINK is not implemented. linkLocation=https://pokecottage.com/pokemon-master-sets/urshifu, friendlyName=Urshifu (Rapid Strike Style)</x:v>
      </x:c>
      <x:c r="D1203" s="8" t="str">
        <x:v>Other Form</x:v>
      </x:c>
      <x:c r="E1203" s="8"/>
      <x:c r="F1203" s="8"/>
    </x:row>
    <x:row r="1204" ht="25" customHeight="1">
      <x:c r="A1204" s="13" t="str">
        <x:v>☐</x:v>
      </x:c>
      <x:c r="B1204" s="11" t="n">
        <x:v>892</x:v>
      </x:c>
      <x:c r="C1204" s="15" t="e">
        <x:f>HYPERLINK("https://pokecottage.com/pokemon-master-sets/urshifu","Gigantamax Urshifu (Single Strike Style)")</x:f>
        <x:v>HYPERLINK is not implemented. linkLocation=https://pokecottage.com/pokemon-master-sets/urshifu, friendlyName=Gigantamax Urshifu (Single Strike Style)</x:v>
      </x:c>
      <x:c r="D1204" s="7" t="str">
        <x:v>Gigantamax</x:v>
      </x:c>
      <x:c r="E1204" s="7"/>
      <x:c r="F1204" s="7"/>
    </x:row>
    <x:row r="1205" ht="25" customHeight="1">
      <x:c r="A1205" s="14" t="str">
        <x:v>☐</x:v>
      </x:c>
      <x:c r="B1205" s="12" t="n">
        <x:v>892</x:v>
      </x:c>
      <x:c r="C1205" s="16" t="e">
        <x:f>HYPERLINK("https://pokecottage.com/pokemon-master-sets/urshifu","Gigantamax Urshifu (Rapid Strike Style)")</x:f>
        <x:v>HYPERLINK is not implemented. linkLocation=https://pokecottage.com/pokemon-master-sets/urshifu, friendlyName=Gigantamax Urshifu (Rapid Strike Style)</x:v>
      </x:c>
      <x:c r="D1205" s="8" t="str">
        <x:v>Gigantamax</x:v>
      </x:c>
      <x:c r="E1205" s="8"/>
      <x:c r="F1205" s="8"/>
    </x:row>
    <x:row r="1206" ht="25" customHeight="1">
      <x:c r="A1206" s="13" t="str">
        <x:v>☐</x:v>
      </x:c>
      <x:c r="B1206" s="11" t="n">
        <x:v>893</x:v>
      </x:c>
      <x:c r="C1206" s="15" t="e">
        <x:f>HYPERLINK("https://pokecottage.com/pokemon-master-sets/zarude","Zarude")</x:f>
        <x:v>HYPERLINK is not implemented. linkLocation=https://pokecottage.com/pokemon-master-sets/zarude, friendlyName=Zarude</x:v>
      </x:c>
      <x:c r="D1206" s="7" t="str">
        <x:v>Gen 8 • Galar</x:v>
      </x:c>
      <x:c r="E1206" s="7"/>
      <x:c r="F1206" s="7"/>
    </x:row>
    <x:row r="1207" ht="25" customHeight="1">
      <x:c r="A1207" s="14" t="str">
        <x:v>☐</x:v>
      </x:c>
      <x:c r="B1207" s="12" t="n">
        <x:v>894</x:v>
      </x:c>
      <x:c r="C1207" s="16" t="e">
        <x:f>HYPERLINK("https://pokecottage.com/pokemon-master-sets/regieleki","Regieleki")</x:f>
        <x:v>HYPERLINK is not implemented. linkLocation=https://pokecottage.com/pokemon-master-sets/regieleki, friendlyName=Regieleki</x:v>
      </x:c>
      <x:c r="D1207" s="8" t="str">
        <x:v>Gen 8 • Galar</x:v>
      </x:c>
      <x:c r="E1207" s="8"/>
      <x:c r="F1207" s="8"/>
    </x:row>
    <x:row r="1208" ht="25" customHeight="1">
      <x:c r="A1208" s="13" t="str">
        <x:v>☐</x:v>
      </x:c>
      <x:c r="B1208" s="11" t="n">
        <x:v>895</x:v>
      </x:c>
      <x:c r="C1208" s="15" t="e">
        <x:f>HYPERLINK("https://pokecottage.com/pokemon-master-sets/regidrago","Regidrago")</x:f>
        <x:v>HYPERLINK is not implemented. linkLocation=https://pokecottage.com/pokemon-master-sets/regidrago, friendlyName=Regidrago</x:v>
      </x:c>
      <x:c r="D1208" s="7" t="str">
        <x:v>Gen 8 • Galar</x:v>
      </x:c>
      <x:c r="E1208" s="7"/>
      <x:c r="F1208" s="7"/>
    </x:row>
    <x:row r="1209" ht="25" customHeight="1">
      <x:c r="A1209" s="14" t="str">
        <x:v>☐</x:v>
      </x:c>
      <x:c r="B1209" s="12" t="n">
        <x:v>896</x:v>
      </x:c>
      <x:c r="C1209" s="16" t="e">
        <x:f>HYPERLINK("https://pokecottage.com/pokemon-master-sets/glastrier","Glastrier")</x:f>
        <x:v>HYPERLINK is not implemented. linkLocation=https://pokecottage.com/pokemon-master-sets/glastrier, friendlyName=Glastrier</x:v>
      </x:c>
      <x:c r="D1209" s="8" t="str">
        <x:v>Gen 8 • Galar</x:v>
      </x:c>
      <x:c r="E1209" s="8"/>
      <x:c r="F1209" s="8"/>
    </x:row>
    <x:row r="1210" ht="25" customHeight="1">
      <x:c r="A1210" s="13" t="str">
        <x:v>☐</x:v>
      </x:c>
      <x:c r="B1210" s="11" t="n">
        <x:v>897</x:v>
      </x:c>
      <x:c r="C1210" s="15" t="e">
        <x:f>HYPERLINK("https://pokecottage.com/pokemon-master-sets/spectrier","Spectrier")</x:f>
        <x:v>HYPERLINK is not implemented. linkLocation=https://pokecottage.com/pokemon-master-sets/spectrier, friendlyName=Spectrier</x:v>
      </x:c>
      <x:c r="D1210" s="7" t="str">
        <x:v>Gen 8 • Galar</x:v>
      </x:c>
      <x:c r="E1210" s="7"/>
      <x:c r="F1210" s="7"/>
    </x:row>
    <x:row r="1211" ht="25" customHeight="1">
      <x:c r="A1211" s="14" t="str">
        <x:v>☐</x:v>
      </x:c>
      <x:c r="B1211" s="12" t="n">
        <x:v>898</x:v>
      </x:c>
      <x:c r="C1211" s="16" t="e">
        <x:f>HYPERLINK("https://pokecottage.com/pokemon-master-sets/calyrex","Calyrex")</x:f>
        <x:v>HYPERLINK is not implemented. linkLocation=https://pokecottage.com/pokemon-master-sets/calyrex, friendlyName=Calyrex</x:v>
      </x:c>
      <x:c r="D1211" s="8" t="str">
        <x:v>Other Form</x:v>
      </x:c>
      <x:c r="E1211" s="8"/>
      <x:c r="F1211" s="8"/>
    </x:row>
    <x:row r="1212" ht="25" customHeight="1">
      <x:c r="A1212" s="13" t="str">
        <x:v>☐</x:v>
      </x:c>
      <x:c r="B1212" s="11" t="n">
        <x:v>898</x:v>
      </x:c>
      <x:c r="C1212" s="15" t="e">
        <x:f>HYPERLINK("https://pokecottage.com/pokemon-master-sets/calyrex","Ice Rider Calyrex")</x:f>
        <x:v>HYPERLINK is not implemented. linkLocation=https://pokecottage.com/pokemon-master-sets/calyrex, friendlyName=Ice Rider Calyrex</x:v>
      </x:c>
      <x:c r="D1212" s="7" t="str">
        <x:v>Other Form</x:v>
      </x:c>
      <x:c r="E1212" s="7"/>
      <x:c r="F1212" s="7"/>
    </x:row>
    <x:row r="1213" ht="25" customHeight="1">
      <x:c r="A1213" s="14" t="str">
        <x:v>☐</x:v>
      </x:c>
      <x:c r="B1213" s="12" t="n">
        <x:v>898</x:v>
      </x:c>
      <x:c r="C1213" s="16" t="e">
        <x:f>HYPERLINK("https://pokecottage.com/pokemon-master-sets/calyrex","Shadow Rider Calyrex")</x:f>
        <x:v>HYPERLINK is not implemented. linkLocation=https://pokecottage.com/pokemon-master-sets/calyrex, friendlyName=Shadow Rider Calyrex</x:v>
      </x:c>
      <x:c r="D1213" s="8" t="str">
        <x:v>Other Form</x:v>
      </x:c>
      <x:c r="E1213" s="8"/>
      <x:c r="F1213" s="8"/>
    </x:row>
    <x:row r="1214" ht="25" customHeight="1">
      <x:c r="A1214" s="13" t="str">
        <x:v>☐</x:v>
      </x:c>
      <x:c r="B1214" s="11" t="n">
        <x:v>899</x:v>
      </x:c>
      <x:c r="C1214" s="15" t="e">
        <x:f>HYPERLINK("https://pokecottage.com/pokemon-master-sets/wyrdeer","Wyrdeer")</x:f>
        <x:v>HYPERLINK is not implemented. linkLocation=https://pokecottage.com/pokemon-master-sets/wyrdeer, friendlyName=Wyrdeer</x:v>
      </x:c>
      <x:c r="D1214" s="7" t="str">
        <x:v>GEN 8 HISUI</x:v>
      </x:c>
      <x:c r="E1214" s="7"/>
      <x:c r="F1214" s="7"/>
    </x:row>
    <x:row r="1215" ht="25" customHeight="1">
      <x:c r="A1215" s="14" t="str">
        <x:v>☐</x:v>
      </x:c>
      <x:c r="B1215" s="12" t="n">
        <x:v>900</x:v>
      </x:c>
      <x:c r="C1215" s="16" t="e">
        <x:f>HYPERLINK("https://pokecottage.com/pokemon-master-sets/kleavor","Kleavor")</x:f>
        <x:v>HYPERLINK is not implemented. linkLocation=https://pokecottage.com/pokemon-master-sets/kleavor, friendlyName=Kleavor</x:v>
      </x:c>
      <x:c r="D1215" s="8" t="str">
        <x:v>GEN 8 HISUI</x:v>
      </x:c>
      <x:c r="E1215" s="8"/>
      <x:c r="F1215" s="8"/>
    </x:row>
    <x:row r="1216" ht="25" customHeight="1">
      <x:c r="A1216" s="13" t="str">
        <x:v>☐</x:v>
      </x:c>
      <x:c r="B1216" s="11" t="n">
        <x:v>901</x:v>
      </x:c>
      <x:c r="C1216" s="15" t="e">
        <x:f>HYPERLINK("https://pokecottage.com/pokemon-master-sets/ursaluna","Ursaluna")</x:f>
        <x:v>HYPERLINK is not implemented. linkLocation=https://pokecottage.com/pokemon-master-sets/ursaluna, friendlyName=Ursaluna</x:v>
      </x:c>
      <x:c r="D1216" s="7" t="str">
        <x:v>Other Form</x:v>
      </x:c>
      <x:c r="E1216" s="7"/>
      <x:c r="F1216" s="7"/>
    </x:row>
    <x:row r="1217" ht="25" customHeight="1">
      <x:c r="A1217" s="14" t="str">
        <x:v>☐</x:v>
      </x:c>
      <x:c r="B1217" s="12" t="n">
        <x:v>901</x:v>
      </x:c>
      <x:c r="C1217" s="16" t="e">
        <x:f>HYPERLINK("https://pokecottage.com/pokemon-master-sets/ursaluna","Bloodmoon Ursaluna")</x:f>
        <x:v>HYPERLINK is not implemented. linkLocation=https://pokecottage.com/pokemon-master-sets/ursaluna, friendlyName=Bloodmoon Ursaluna</x:v>
      </x:c>
      <x:c r="D1217" s="8" t="str">
        <x:v>Other Form</x:v>
      </x:c>
      <x:c r="E1217" s="8"/>
      <x:c r="F1217" s="8"/>
    </x:row>
    <x:row r="1218" ht="25" customHeight="1">
      <x:c r="A1218" s="13" t="str">
        <x:v>☐</x:v>
      </x:c>
      <x:c r="B1218" s="11" t="n">
        <x:v>902</x:v>
      </x:c>
      <x:c r="C1218" s="15" t="e">
        <x:f>HYPERLINK("https://pokecottage.com/pokemon-master-sets/basculegion","Basculegion (Male)")</x:f>
        <x:v>HYPERLINK is not implemented. linkLocation=https://pokecottage.com/pokemon-master-sets/basculegion, friendlyName=Basculegion (Male)</x:v>
      </x:c>
      <x:c r="D1218" s="7" t="str">
        <x:v>Other Form</x:v>
      </x:c>
      <x:c r="E1218" s="7"/>
      <x:c r="F1218" s="7"/>
    </x:row>
    <x:row r="1219" ht="25" customHeight="1">
      <x:c r="A1219" s="14" t="str">
        <x:v>☐</x:v>
      </x:c>
      <x:c r="B1219" s="12" t="n">
        <x:v>902</x:v>
      </x:c>
      <x:c r="C1219" s="16" t="e">
        <x:f>HYPERLINK("https://pokecottage.com/pokemon-master-sets/basculegion","Basculegion (Female)")</x:f>
        <x:v>HYPERLINK is not implemented. linkLocation=https://pokecottage.com/pokemon-master-sets/basculegion, friendlyName=Basculegion (Female)</x:v>
      </x:c>
      <x:c r="D1219" s="8" t="str">
        <x:v>Other Form</x:v>
      </x:c>
      <x:c r="E1219" s="8"/>
      <x:c r="F1219" s="8"/>
    </x:row>
    <x:row r="1220" ht="25" customHeight="1">
      <x:c r="A1220" s="13" t="str">
        <x:v>☐</x:v>
      </x:c>
      <x:c r="B1220" s="11" t="n">
        <x:v>903</x:v>
      </x:c>
      <x:c r="C1220" s="15" t="e">
        <x:f>HYPERLINK("https://pokecottage.com/pokemon-master-sets/sneasler","Sneasler")</x:f>
        <x:v>HYPERLINK is not implemented. linkLocation=https://pokecottage.com/pokemon-master-sets/sneasler, friendlyName=Sneasler</x:v>
      </x:c>
      <x:c r="D1220" s="7" t="str">
        <x:v>GEN 8 HISUI</x:v>
      </x:c>
      <x:c r="E1220" s="7"/>
      <x:c r="F1220" s="7"/>
    </x:row>
    <x:row r="1221" ht="25" customHeight="1">
      <x:c r="A1221" s="14" t="str">
        <x:v>☐</x:v>
      </x:c>
      <x:c r="B1221" s="12" t="n">
        <x:v>904</x:v>
      </x:c>
      <x:c r="C1221" s="16" t="e">
        <x:f>HYPERLINK("https://pokecottage.com/pokemon-master-sets/overqwil","Overqwil")</x:f>
        <x:v>HYPERLINK is not implemented. linkLocation=https://pokecottage.com/pokemon-master-sets/overqwil, friendlyName=Overqwil</x:v>
      </x:c>
      <x:c r="D1221" s="8" t="str">
        <x:v>GEN 8 HISUI</x:v>
      </x:c>
      <x:c r="E1221" s="8"/>
      <x:c r="F1221" s="8"/>
    </x:row>
    <x:row r="1222" ht="25" customHeight="1">
      <x:c r="A1222" s="13" t="str">
        <x:v>☐</x:v>
      </x:c>
      <x:c r="B1222" s="11" t="n">
        <x:v>905</x:v>
      </x:c>
      <x:c r="C1222" s="15" t="e">
        <x:f>HYPERLINK("https://pokecottage.com/pokemon-master-sets/enamorus","Enamorus (Incarnate Forme)")</x:f>
        <x:v>HYPERLINK is not implemented. linkLocation=https://pokecottage.com/pokemon-master-sets/enamorus, friendlyName=Enamorus (Incarnate Forme)</x:v>
      </x:c>
      <x:c r="D1222" s="7" t="str">
        <x:v>Other Form</x:v>
      </x:c>
      <x:c r="E1222" s="7"/>
      <x:c r="F1222" s="7"/>
    </x:row>
    <x:row r="1223" ht="25" customHeight="1">
      <x:c r="A1223" s="14" t="str">
        <x:v>☐</x:v>
      </x:c>
      <x:c r="B1223" s="12" t="n">
        <x:v>905</x:v>
      </x:c>
      <x:c r="C1223" s="16" t="e">
        <x:f>HYPERLINK("https://pokecottage.com/pokemon-master-sets/enamorus","Enamorus (Therian Forme)")</x:f>
        <x:v>HYPERLINK is not implemented. linkLocation=https://pokecottage.com/pokemon-master-sets/enamorus, friendlyName=Enamorus (Therian Forme)</x:v>
      </x:c>
      <x:c r="D1223" s="8" t="str">
        <x:v>Other Form</x:v>
      </x:c>
      <x:c r="E1223" s="8"/>
      <x:c r="F1223" s="8"/>
    </x:row>
    <x:row r="1224" ht="25" customHeight="1">
      <x:c r="A1224" s="13" t="str">
        <x:v>☐</x:v>
      </x:c>
      <x:c r="B1224" s="11" t="n">
        <x:v>906</x:v>
      </x:c>
      <x:c r="C1224" s="15" t="e">
        <x:f>HYPERLINK("https://pokecottage.com/pokemon-master-sets/sprigatito","Sprigatito")</x:f>
        <x:v>HYPERLINK is not implemented. linkLocation=https://pokecottage.com/pokemon-master-sets/sprigatito, friendlyName=Sprigatito</x:v>
      </x:c>
      <x:c r="D1224" s="7" t="str">
        <x:v>Gen 9 • Paldea</x:v>
      </x:c>
      <x:c r="E1224" s="7"/>
      <x:c r="F1224" s="7"/>
    </x:row>
    <x:row r="1225" ht="25" customHeight="1">
      <x:c r="A1225" s="14" t="str">
        <x:v>☐</x:v>
      </x:c>
      <x:c r="B1225" s="12" t="n">
        <x:v>907</x:v>
      </x:c>
      <x:c r="C1225" s="16" t="e">
        <x:f>HYPERLINK("https://pokecottage.com/pokemon-master-sets/floragato","Floragato")</x:f>
        <x:v>HYPERLINK is not implemented. linkLocation=https://pokecottage.com/pokemon-master-sets/floragato, friendlyName=Floragato</x:v>
      </x:c>
      <x:c r="D1225" s="8" t="str">
        <x:v>Gen 9 • Paldea</x:v>
      </x:c>
      <x:c r="E1225" s="8"/>
      <x:c r="F1225" s="8"/>
    </x:row>
    <x:row r="1226" ht="25" customHeight="1">
      <x:c r="A1226" s="13" t="str">
        <x:v>☐</x:v>
      </x:c>
      <x:c r="B1226" s="11" t="n">
        <x:v>908</x:v>
      </x:c>
      <x:c r="C1226" s="15" t="e">
        <x:f>HYPERLINK("https://pokecottage.com/pokemon-master-sets/meowscarada","Meowscarada")</x:f>
        <x:v>HYPERLINK is not implemented. linkLocation=https://pokecottage.com/pokemon-master-sets/meowscarada, friendlyName=Meowscarada</x:v>
      </x:c>
      <x:c r="D1226" s="7" t="str">
        <x:v>Gen 9 • Paldea</x:v>
      </x:c>
      <x:c r="E1226" s="7"/>
      <x:c r="F1226" s="7"/>
    </x:row>
    <x:row r="1227" ht="25" customHeight="1">
      <x:c r="A1227" s="14" t="str">
        <x:v>☐</x:v>
      </x:c>
      <x:c r="B1227" s="12" t="n">
        <x:v>909</x:v>
      </x:c>
      <x:c r="C1227" s="16" t="e">
        <x:f>HYPERLINK("https://pokecottage.com/pokemon-master-sets/fuecoco","Fuecoco")</x:f>
        <x:v>HYPERLINK is not implemented. linkLocation=https://pokecottage.com/pokemon-master-sets/fuecoco, friendlyName=Fuecoco</x:v>
      </x:c>
      <x:c r="D1227" s="8" t="str">
        <x:v>Gen 9 • Paldea</x:v>
      </x:c>
      <x:c r="E1227" s="8"/>
      <x:c r="F1227" s="8"/>
    </x:row>
    <x:row r="1228" ht="25" customHeight="1">
      <x:c r="A1228" s="13" t="str">
        <x:v>☐</x:v>
      </x:c>
      <x:c r="B1228" s="11" t="n">
        <x:v>910</x:v>
      </x:c>
      <x:c r="C1228" s="15" t="e">
        <x:f>HYPERLINK("https://pokecottage.com/pokemon-master-sets/crocalor","Crocalor")</x:f>
        <x:v>HYPERLINK is not implemented. linkLocation=https://pokecottage.com/pokemon-master-sets/crocalor, friendlyName=Crocalor</x:v>
      </x:c>
      <x:c r="D1228" s="7" t="str">
        <x:v>Gen 9 • Paldea</x:v>
      </x:c>
      <x:c r="E1228" s="7"/>
      <x:c r="F1228" s="7"/>
    </x:row>
    <x:row r="1229" ht="25" customHeight="1">
      <x:c r="A1229" s="14" t="str">
        <x:v>☐</x:v>
      </x:c>
      <x:c r="B1229" s="12" t="n">
        <x:v>911</x:v>
      </x:c>
      <x:c r="C1229" s="16" t="e">
        <x:f>HYPERLINK("https://pokecottage.com/pokemon-master-sets/skeledirge","Skeledirge")</x:f>
        <x:v>HYPERLINK is not implemented. linkLocation=https://pokecottage.com/pokemon-master-sets/skeledirge, friendlyName=Skeledirge</x:v>
      </x:c>
      <x:c r="D1229" s="8" t="str">
        <x:v>Gen 9 • Paldea</x:v>
      </x:c>
      <x:c r="E1229" s="8"/>
      <x:c r="F1229" s="8"/>
    </x:row>
    <x:row r="1230" ht="25" customHeight="1">
      <x:c r="A1230" s="13" t="str">
        <x:v>☐</x:v>
      </x:c>
      <x:c r="B1230" s="11" t="n">
        <x:v>912</x:v>
      </x:c>
      <x:c r="C1230" s="15" t="e">
        <x:f>HYPERLINK("https://pokecottage.com/pokemon-master-sets/quaxly","Quaxly")</x:f>
        <x:v>HYPERLINK is not implemented. linkLocation=https://pokecottage.com/pokemon-master-sets/quaxly, friendlyName=Quaxly</x:v>
      </x:c>
      <x:c r="D1230" s="7" t="str">
        <x:v>Gen 9 • Paldea</x:v>
      </x:c>
      <x:c r="E1230" s="7"/>
      <x:c r="F1230" s="7"/>
    </x:row>
    <x:row r="1231" ht="25" customHeight="1">
      <x:c r="A1231" s="14" t="str">
        <x:v>☐</x:v>
      </x:c>
      <x:c r="B1231" s="12" t="n">
        <x:v>913</x:v>
      </x:c>
      <x:c r="C1231" s="16" t="e">
        <x:f>HYPERLINK("https://pokecottage.com/pokemon-master-sets/quaxwell","Quaxwell")</x:f>
        <x:v>HYPERLINK is not implemented. linkLocation=https://pokecottage.com/pokemon-master-sets/quaxwell, friendlyName=Quaxwell</x:v>
      </x:c>
      <x:c r="D1231" s="8" t="str">
        <x:v>Gen 9 • Paldea</x:v>
      </x:c>
      <x:c r="E1231" s="8"/>
      <x:c r="F1231" s="8"/>
    </x:row>
    <x:row r="1232" ht="25" customHeight="1">
      <x:c r="A1232" s="13" t="str">
        <x:v>☐</x:v>
      </x:c>
      <x:c r="B1232" s="11" t="n">
        <x:v>914</x:v>
      </x:c>
      <x:c r="C1232" s="15" t="e">
        <x:f>HYPERLINK("https://pokecottage.com/pokemon-master-sets/quaquaval","Quaquaval")</x:f>
        <x:v>HYPERLINK is not implemented. linkLocation=https://pokecottage.com/pokemon-master-sets/quaquaval, friendlyName=Quaquaval</x:v>
      </x:c>
      <x:c r="D1232" s="7" t="str">
        <x:v>Gen 9 • Paldea</x:v>
      </x:c>
      <x:c r="E1232" s="7"/>
      <x:c r="F1232" s="7"/>
    </x:row>
    <x:row r="1233" ht="25" customHeight="1">
      <x:c r="A1233" s="14" t="str">
        <x:v>☐</x:v>
      </x:c>
      <x:c r="B1233" s="12" t="n">
        <x:v>915</x:v>
      </x:c>
      <x:c r="C1233" s="16" t="e">
        <x:f>HYPERLINK("https://pokecottage.com/pokemon-master-sets/lechonk","Lechonk")</x:f>
        <x:v>HYPERLINK is not implemented. linkLocation=https://pokecottage.com/pokemon-master-sets/lechonk, friendlyName=Lechonk</x:v>
      </x:c>
      <x:c r="D1233" s="8" t="str">
        <x:v>Gen 9 • Paldea</x:v>
      </x:c>
      <x:c r="E1233" s="8"/>
      <x:c r="F1233" s="8"/>
    </x:row>
    <x:row r="1234" ht="25" customHeight="1">
      <x:c r="A1234" s="13" t="str">
        <x:v>☐</x:v>
      </x:c>
      <x:c r="B1234" s="11" t="n">
        <x:v>916</x:v>
      </x:c>
      <x:c r="C1234" s="15" t="e">
        <x:f>HYPERLINK("https://pokecottage.com/pokemon-master-sets/oinkologne","Oinkologne (Male)")</x:f>
        <x:v>HYPERLINK is not implemented. linkLocation=https://pokecottage.com/pokemon-master-sets/oinkologne, friendlyName=Oinkologne (Male)</x:v>
      </x:c>
      <x:c r="D1234" s="7" t="str">
        <x:v>Other Form</x:v>
      </x:c>
      <x:c r="E1234" s="7"/>
      <x:c r="F1234" s="7"/>
    </x:row>
    <x:row r="1235" ht="25" customHeight="1">
      <x:c r="A1235" s="14" t="str">
        <x:v>☐</x:v>
      </x:c>
      <x:c r="B1235" s="12" t="n">
        <x:v>916</x:v>
      </x:c>
      <x:c r="C1235" s="16" t="e">
        <x:f>HYPERLINK("https://pokecottage.com/pokemon-master-sets/oinkologne","Oinkologne (Female)")</x:f>
        <x:v>HYPERLINK is not implemented. linkLocation=https://pokecottage.com/pokemon-master-sets/oinkologne, friendlyName=Oinkologne (Female)</x:v>
      </x:c>
      <x:c r="D1235" s="8" t="str">
        <x:v>Other Form</x:v>
      </x:c>
      <x:c r="E1235" s="8"/>
      <x:c r="F1235" s="8"/>
    </x:row>
    <x:row r="1236" ht="25" customHeight="1">
      <x:c r="A1236" s="13" t="str">
        <x:v>☐</x:v>
      </x:c>
      <x:c r="B1236" s="11" t="n">
        <x:v>917</x:v>
      </x:c>
      <x:c r="C1236" s="15" t="e">
        <x:f>HYPERLINK("https://pokecottage.com/pokemon-master-sets/tarountula","Tarountula")</x:f>
        <x:v>HYPERLINK is not implemented. linkLocation=https://pokecottage.com/pokemon-master-sets/tarountula, friendlyName=Tarountula</x:v>
      </x:c>
      <x:c r="D1236" s="7" t="str">
        <x:v>Gen 9 • Paldea</x:v>
      </x:c>
      <x:c r="E1236" s="7"/>
      <x:c r="F1236" s="7"/>
    </x:row>
    <x:row r="1237" ht="25" customHeight="1">
      <x:c r="A1237" s="14" t="str">
        <x:v>☐</x:v>
      </x:c>
      <x:c r="B1237" s="12" t="n">
        <x:v>918</x:v>
      </x:c>
      <x:c r="C1237" s="16" t="e">
        <x:f>HYPERLINK("https://pokecottage.com/pokemon-master-sets/spidops","Spidops")</x:f>
        <x:v>HYPERLINK is not implemented. linkLocation=https://pokecottage.com/pokemon-master-sets/spidops, friendlyName=Spidops</x:v>
      </x:c>
      <x:c r="D1237" s="8" t="str">
        <x:v>Gen 9 • Paldea</x:v>
      </x:c>
      <x:c r="E1237" s="8"/>
      <x:c r="F1237" s="8"/>
    </x:row>
    <x:row r="1238" ht="25" customHeight="1">
      <x:c r="A1238" s="13" t="str">
        <x:v>☐</x:v>
      </x:c>
      <x:c r="B1238" s="11" t="n">
        <x:v>919</x:v>
      </x:c>
      <x:c r="C1238" s="15" t="e">
        <x:f>HYPERLINK("https://pokecottage.com/pokemon-master-sets/nymble","Nymble")</x:f>
        <x:v>HYPERLINK is not implemented. linkLocation=https://pokecottage.com/pokemon-master-sets/nymble, friendlyName=Nymble</x:v>
      </x:c>
      <x:c r="D1238" s="7" t="str">
        <x:v>Gen 9 • Paldea</x:v>
      </x:c>
      <x:c r="E1238" s="7"/>
      <x:c r="F1238" s="7"/>
    </x:row>
    <x:row r="1239" ht="25" customHeight="1">
      <x:c r="A1239" s="14" t="str">
        <x:v>☐</x:v>
      </x:c>
      <x:c r="B1239" s="12" t="n">
        <x:v>920</x:v>
      </x:c>
      <x:c r="C1239" s="16" t="e">
        <x:f>HYPERLINK("https://pokecottage.com/pokemon-master-sets/lokix","Lokix")</x:f>
        <x:v>HYPERLINK is not implemented. linkLocation=https://pokecottage.com/pokemon-master-sets/lokix, friendlyName=Lokix</x:v>
      </x:c>
      <x:c r="D1239" s="8" t="str">
        <x:v>Gen 9 • Paldea</x:v>
      </x:c>
      <x:c r="E1239" s="8"/>
      <x:c r="F1239" s="8"/>
    </x:row>
    <x:row r="1240" ht="25" customHeight="1">
      <x:c r="A1240" s="13" t="str">
        <x:v>☐</x:v>
      </x:c>
      <x:c r="B1240" s="11" t="n">
        <x:v>921</x:v>
      </x:c>
      <x:c r="C1240" s="15" t="e">
        <x:f>HYPERLINK("https://pokecottage.com/pokemon-master-sets/pawmi","Pawmi")</x:f>
        <x:v>HYPERLINK is not implemented. linkLocation=https://pokecottage.com/pokemon-master-sets/pawmi, friendlyName=Pawmi</x:v>
      </x:c>
      <x:c r="D1240" s="7" t="str">
        <x:v>Gen 9 • Paldea</x:v>
      </x:c>
      <x:c r="E1240" s="7"/>
      <x:c r="F1240" s="7"/>
    </x:row>
    <x:row r="1241" ht="25" customHeight="1">
      <x:c r="A1241" s="14" t="str">
        <x:v>☐</x:v>
      </x:c>
      <x:c r="B1241" s="12" t="n">
        <x:v>922</x:v>
      </x:c>
      <x:c r="C1241" s="16" t="e">
        <x:f>HYPERLINK("https://pokecottage.com/pokemon-master-sets/pawmo","Pawmo")</x:f>
        <x:v>HYPERLINK is not implemented. linkLocation=https://pokecottage.com/pokemon-master-sets/pawmo, friendlyName=Pawmo</x:v>
      </x:c>
      <x:c r="D1241" s="8" t="str">
        <x:v>Gen 9 • Paldea</x:v>
      </x:c>
      <x:c r="E1241" s="8"/>
      <x:c r="F1241" s="8"/>
    </x:row>
    <x:row r="1242" ht="25" customHeight="1">
      <x:c r="A1242" s="13" t="str">
        <x:v>☐</x:v>
      </x:c>
      <x:c r="B1242" s="11" t="n">
        <x:v>923</x:v>
      </x:c>
      <x:c r="C1242" s="15" t="e">
        <x:f>HYPERLINK("https://pokecottage.com/pokemon-master-sets/pawmot","Pawmot")</x:f>
        <x:v>HYPERLINK is not implemented. linkLocation=https://pokecottage.com/pokemon-master-sets/pawmot, friendlyName=Pawmot</x:v>
      </x:c>
      <x:c r="D1242" s="7" t="str">
        <x:v>Gen 9 • Paldea</x:v>
      </x:c>
      <x:c r="E1242" s="7"/>
      <x:c r="F1242" s="7"/>
    </x:row>
    <x:row r="1243" ht="25" customHeight="1">
      <x:c r="A1243" s="14" t="str">
        <x:v>☐</x:v>
      </x:c>
      <x:c r="B1243" s="12" t="n">
        <x:v>924</x:v>
      </x:c>
      <x:c r="C1243" s="16" t="e">
        <x:f>HYPERLINK("https://pokecottage.com/pokemon-master-sets/tandemaus","Tandemaus")</x:f>
        <x:v>HYPERLINK is not implemented. linkLocation=https://pokecottage.com/pokemon-master-sets/tandemaus, friendlyName=Tandemaus</x:v>
      </x:c>
      <x:c r="D1243" s="8" t="str">
        <x:v>Gen 9 • Paldea</x:v>
      </x:c>
      <x:c r="E1243" s="8"/>
      <x:c r="F1243" s="8"/>
    </x:row>
    <x:row r="1244" ht="25" customHeight="1">
      <x:c r="A1244" s="13" t="str">
        <x:v>☐</x:v>
      </x:c>
      <x:c r="B1244" s="11" t="n">
        <x:v>925</x:v>
      </x:c>
      <x:c r="C1244" s="15" t="e">
        <x:f>HYPERLINK("https://pokecottage.com/pokemon-master-sets/maushold","Maushold (Family of Four)")</x:f>
        <x:v>HYPERLINK is not implemented. linkLocation=https://pokecottage.com/pokemon-master-sets/maushold, friendlyName=Maushold (Family of Four)</x:v>
      </x:c>
      <x:c r="D1244" s="7" t="str">
        <x:v>Other Form</x:v>
      </x:c>
      <x:c r="E1244" s="7"/>
      <x:c r="F1244" s="7"/>
    </x:row>
    <x:row r="1245" ht="25" customHeight="1">
      <x:c r="A1245" s="14" t="str">
        <x:v>☐</x:v>
      </x:c>
      <x:c r="B1245" s="12" t="n">
        <x:v>925</x:v>
      </x:c>
      <x:c r="C1245" s="16" t="e">
        <x:f>HYPERLINK("https://pokecottage.com/pokemon-master-sets/maushold","Maushold (Family of Three)")</x:f>
        <x:v>HYPERLINK is not implemented. linkLocation=https://pokecottage.com/pokemon-master-sets/maushold, friendlyName=Maushold (Family of Three)</x:v>
      </x:c>
      <x:c r="D1245" s="8" t="str">
        <x:v>Other Form</x:v>
      </x:c>
      <x:c r="E1245" s="8"/>
      <x:c r="F1245" s="8"/>
    </x:row>
    <x:row r="1246" ht="25" customHeight="1">
      <x:c r="A1246" s="13" t="str">
        <x:v>☐</x:v>
      </x:c>
      <x:c r="B1246" s="11" t="n">
        <x:v>926</x:v>
      </x:c>
      <x:c r="C1246" s="15" t="e">
        <x:f>HYPERLINK("https://pokecottage.com/pokemon-master-sets/fidough","Fidough")</x:f>
        <x:v>HYPERLINK is not implemented. linkLocation=https://pokecottage.com/pokemon-master-sets/fidough, friendlyName=Fidough</x:v>
      </x:c>
      <x:c r="D1246" s="7" t="str">
        <x:v>Gen 9 • Paldea</x:v>
      </x:c>
      <x:c r="E1246" s="7"/>
      <x:c r="F1246" s="7"/>
    </x:row>
    <x:row r="1247" ht="25" customHeight="1">
      <x:c r="A1247" s="14" t="str">
        <x:v>☐</x:v>
      </x:c>
      <x:c r="B1247" s="12" t="n">
        <x:v>927</x:v>
      </x:c>
      <x:c r="C1247" s="16" t="e">
        <x:f>HYPERLINK("https://pokecottage.com/pokemon-master-sets/dachsbun","Dachsbun")</x:f>
        <x:v>HYPERLINK is not implemented. linkLocation=https://pokecottage.com/pokemon-master-sets/dachsbun, friendlyName=Dachsbun</x:v>
      </x:c>
      <x:c r="D1247" s="8" t="str">
        <x:v>Gen 9 • Paldea</x:v>
      </x:c>
      <x:c r="E1247" s="8"/>
      <x:c r="F1247" s="8"/>
    </x:row>
    <x:row r="1248" ht="25" customHeight="1">
      <x:c r="A1248" s="13" t="str">
        <x:v>☐</x:v>
      </x:c>
      <x:c r="B1248" s="11" t="n">
        <x:v>928</x:v>
      </x:c>
      <x:c r="C1248" s="15" t="e">
        <x:f>HYPERLINK("https://pokecottage.com/pokemon-master-sets/smoliv","Smoliv")</x:f>
        <x:v>HYPERLINK is not implemented. linkLocation=https://pokecottage.com/pokemon-master-sets/smoliv, friendlyName=Smoliv</x:v>
      </x:c>
      <x:c r="D1248" s="7" t="str">
        <x:v>Gen 9 • Paldea</x:v>
      </x:c>
      <x:c r="E1248" s="7"/>
      <x:c r="F1248" s="7"/>
    </x:row>
    <x:row r="1249" ht="25" customHeight="1">
      <x:c r="A1249" s="14" t="str">
        <x:v>☐</x:v>
      </x:c>
      <x:c r="B1249" s="12" t="n">
        <x:v>929</x:v>
      </x:c>
      <x:c r="C1249" s="16" t="e">
        <x:f>HYPERLINK("https://pokecottage.com/pokemon-master-sets/dolliv","Dolliv")</x:f>
        <x:v>HYPERLINK is not implemented. linkLocation=https://pokecottage.com/pokemon-master-sets/dolliv, friendlyName=Dolliv</x:v>
      </x:c>
      <x:c r="D1249" s="8" t="str">
        <x:v>Gen 9 • Paldea</x:v>
      </x:c>
      <x:c r="E1249" s="8"/>
      <x:c r="F1249" s="8"/>
    </x:row>
    <x:row r="1250" ht="25" customHeight="1">
      <x:c r="A1250" s="13" t="str">
        <x:v>☐</x:v>
      </x:c>
      <x:c r="B1250" s="11" t="n">
        <x:v>930</x:v>
      </x:c>
      <x:c r="C1250" s="15" t="e">
        <x:f>HYPERLINK("https://pokecottage.com/pokemon-master-sets/arboliva","Arboliva")</x:f>
        <x:v>HYPERLINK is not implemented. linkLocation=https://pokecottage.com/pokemon-master-sets/arboliva, friendlyName=Arboliva</x:v>
      </x:c>
      <x:c r="D1250" s="7" t="str">
        <x:v>Gen 9 • Paldea</x:v>
      </x:c>
      <x:c r="E1250" s="7"/>
      <x:c r="F1250" s="7"/>
    </x:row>
    <x:row r="1251" ht="25" customHeight="1">
      <x:c r="A1251" s="14" t="str">
        <x:v>☐</x:v>
      </x:c>
      <x:c r="B1251" s="12" t="n">
        <x:v>931</x:v>
      </x:c>
      <x:c r="C1251" s="16" t="e">
        <x:f>HYPERLINK("https://pokecottage.com/pokemon-master-sets/squawkabilly","Squawkabilly (Green Plumage)")</x:f>
        <x:v>HYPERLINK is not implemented. linkLocation=https://pokecottage.com/pokemon-master-sets/squawkabilly, friendlyName=Squawkabilly (Green Plumage)</x:v>
      </x:c>
      <x:c r="D1251" s="8" t="str">
        <x:v>Other Form</x:v>
      </x:c>
      <x:c r="E1251" s="8"/>
      <x:c r="F1251" s="8"/>
    </x:row>
    <x:row r="1252" ht="25" customHeight="1">
      <x:c r="A1252" s="13" t="str">
        <x:v>☐</x:v>
      </x:c>
      <x:c r="B1252" s="11" t="n">
        <x:v>931</x:v>
      </x:c>
      <x:c r="C1252" s="15" t="e">
        <x:f>HYPERLINK("https://pokecottage.com/pokemon-master-sets/squawkabilly","Squawkabilly (Blue Plumage)")</x:f>
        <x:v>HYPERLINK is not implemented. linkLocation=https://pokecottage.com/pokemon-master-sets/squawkabilly, friendlyName=Squawkabilly (Blue Plumage)</x:v>
      </x:c>
      <x:c r="D1252" s="7" t="str">
        <x:v>Other Form</x:v>
      </x:c>
      <x:c r="E1252" s="7"/>
      <x:c r="F1252" s="7"/>
    </x:row>
    <x:row r="1253" ht="25" customHeight="1">
      <x:c r="A1253" s="14" t="str">
        <x:v>☐</x:v>
      </x:c>
      <x:c r="B1253" s="12" t="n">
        <x:v>931</x:v>
      </x:c>
      <x:c r="C1253" s="16" t="e">
        <x:f>HYPERLINK("https://pokecottage.com/pokemon-master-sets/squawkabilly","Squawkabilly (Yellow Plumage)")</x:f>
        <x:v>HYPERLINK is not implemented. linkLocation=https://pokecottage.com/pokemon-master-sets/squawkabilly, friendlyName=Squawkabilly (Yellow Plumage)</x:v>
      </x:c>
      <x:c r="D1253" s="8" t="str">
        <x:v>Other Form</x:v>
      </x:c>
      <x:c r="E1253" s="8"/>
      <x:c r="F1253" s="8"/>
    </x:row>
    <x:row r="1254" ht="25" customHeight="1">
      <x:c r="A1254" s="13" t="str">
        <x:v>☐</x:v>
      </x:c>
      <x:c r="B1254" s="11" t="n">
        <x:v>931</x:v>
      </x:c>
      <x:c r="C1254" s="15" t="e">
        <x:f>HYPERLINK("https://pokecottage.com/pokemon-master-sets/squawkabilly","Squawkabilly (White Plumage)")</x:f>
        <x:v>HYPERLINK is not implemented. linkLocation=https://pokecottage.com/pokemon-master-sets/squawkabilly, friendlyName=Squawkabilly (White Plumage)</x:v>
      </x:c>
      <x:c r="D1254" s="7" t="str">
        <x:v>Other Form</x:v>
      </x:c>
      <x:c r="E1254" s="7"/>
      <x:c r="F1254" s="7"/>
    </x:row>
    <x:row r="1255" ht="25" customHeight="1">
      <x:c r="A1255" s="14" t="str">
        <x:v>☐</x:v>
      </x:c>
      <x:c r="B1255" s="12" t="n">
        <x:v>932</x:v>
      </x:c>
      <x:c r="C1255" s="16" t="e">
        <x:f>HYPERLINK("https://pokecottage.com/pokemon-master-sets/nacli","Nacli")</x:f>
        <x:v>HYPERLINK is not implemented. linkLocation=https://pokecottage.com/pokemon-master-sets/nacli, friendlyName=Nacli</x:v>
      </x:c>
      <x:c r="D1255" s="8" t="str">
        <x:v>Gen 9 • Paldea</x:v>
      </x:c>
      <x:c r="E1255" s="8"/>
      <x:c r="F1255" s="8"/>
    </x:row>
    <x:row r="1256" ht="25" customHeight="1">
      <x:c r="A1256" s="13" t="str">
        <x:v>☐</x:v>
      </x:c>
      <x:c r="B1256" s="11" t="n">
        <x:v>933</x:v>
      </x:c>
      <x:c r="C1256" s="15" t="e">
        <x:f>HYPERLINK("https://pokecottage.com/pokemon-master-sets/naclstack","Naclstack")</x:f>
        <x:v>HYPERLINK is not implemented. linkLocation=https://pokecottage.com/pokemon-master-sets/naclstack, friendlyName=Naclstack</x:v>
      </x:c>
      <x:c r="D1256" s="7" t="str">
        <x:v>Gen 9 • Paldea</x:v>
      </x:c>
      <x:c r="E1256" s="7"/>
      <x:c r="F1256" s="7"/>
    </x:row>
    <x:row r="1257" ht="25" customHeight="1">
      <x:c r="A1257" s="14" t="str">
        <x:v>☐</x:v>
      </x:c>
      <x:c r="B1257" s="12" t="n">
        <x:v>934</x:v>
      </x:c>
      <x:c r="C1257" s="16" t="e">
        <x:f>HYPERLINK("https://pokecottage.com/pokemon-master-sets/garganacl","Garganacl")</x:f>
        <x:v>HYPERLINK is not implemented. linkLocation=https://pokecottage.com/pokemon-master-sets/garganacl, friendlyName=Garganacl</x:v>
      </x:c>
      <x:c r="D1257" s="8" t="str">
        <x:v>Gen 9 • Paldea</x:v>
      </x:c>
      <x:c r="E1257" s="8"/>
      <x:c r="F1257" s="8"/>
    </x:row>
    <x:row r="1258" ht="25" customHeight="1">
      <x:c r="A1258" s="13" t="str">
        <x:v>☐</x:v>
      </x:c>
      <x:c r="B1258" s="11" t="n">
        <x:v>935</x:v>
      </x:c>
      <x:c r="C1258" s="15" t="e">
        <x:f>HYPERLINK("https://pokecottage.com/pokemon-master-sets/charcadet","Charcadet")</x:f>
        <x:v>HYPERLINK is not implemented. linkLocation=https://pokecottage.com/pokemon-master-sets/charcadet, friendlyName=Charcadet</x:v>
      </x:c>
      <x:c r="D1258" s="7" t="str">
        <x:v>Gen 9 • Paldea</x:v>
      </x:c>
      <x:c r="E1258" s="7"/>
      <x:c r="F1258" s="7"/>
    </x:row>
    <x:row r="1259" ht="25" customHeight="1">
      <x:c r="A1259" s="14" t="str">
        <x:v>☐</x:v>
      </x:c>
      <x:c r="B1259" s="12" t="n">
        <x:v>936</x:v>
      </x:c>
      <x:c r="C1259" s="16" t="e">
        <x:f>HYPERLINK("https://pokecottage.com/pokemon-master-sets/armarouge","Armarouge")</x:f>
        <x:v>HYPERLINK is not implemented. linkLocation=https://pokecottage.com/pokemon-master-sets/armarouge, friendlyName=Armarouge</x:v>
      </x:c>
      <x:c r="D1259" s="8" t="str">
        <x:v>Gen 9 • Paldea</x:v>
      </x:c>
      <x:c r="E1259" s="8"/>
      <x:c r="F1259" s="8"/>
    </x:row>
    <x:row r="1260" ht="25" customHeight="1">
      <x:c r="A1260" s="13" t="str">
        <x:v>☐</x:v>
      </x:c>
      <x:c r="B1260" s="11" t="n">
        <x:v>937</x:v>
      </x:c>
      <x:c r="C1260" s="15" t="e">
        <x:f>HYPERLINK("https://pokecottage.com/pokemon-master-sets/ceruledge","Ceruledge")</x:f>
        <x:v>HYPERLINK is not implemented. linkLocation=https://pokecottage.com/pokemon-master-sets/ceruledge, friendlyName=Ceruledge</x:v>
      </x:c>
      <x:c r="D1260" s="7" t="str">
        <x:v>Gen 9 • Paldea</x:v>
      </x:c>
      <x:c r="E1260" s="7"/>
      <x:c r="F1260" s="7"/>
    </x:row>
    <x:row r="1261" ht="25" customHeight="1">
      <x:c r="A1261" s="14" t="str">
        <x:v>☐</x:v>
      </x:c>
      <x:c r="B1261" s="12" t="n">
        <x:v>938</x:v>
      </x:c>
      <x:c r="C1261" s="16" t="e">
        <x:f>HYPERLINK("https://pokecottage.com/pokemon-master-sets/tadbulb","Tadbulb")</x:f>
        <x:v>HYPERLINK is not implemented. linkLocation=https://pokecottage.com/pokemon-master-sets/tadbulb, friendlyName=Tadbulb</x:v>
      </x:c>
      <x:c r="D1261" s="8" t="str">
        <x:v>Gen 9 • Paldea</x:v>
      </x:c>
      <x:c r="E1261" s="8"/>
      <x:c r="F1261" s="8"/>
    </x:row>
    <x:row r="1262" ht="25" customHeight="1">
      <x:c r="A1262" s="13" t="str">
        <x:v>☐</x:v>
      </x:c>
      <x:c r="B1262" s="11" t="n">
        <x:v>939</x:v>
      </x:c>
      <x:c r="C1262" s="15" t="e">
        <x:f>HYPERLINK("https://pokecottage.com/pokemon-master-sets/bellibolt","Bellibolt")</x:f>
        <x:v>HYPERLINK is not implemented. linkLocation=https://pokecottage.com/pokemon-master-sets/bellibolt, friendlyName=Bellibolt</x:v>
      </x:c>
      <x:c r="D1262" s="7" t="str">
        <x:v>Gen 9 • Paldea</x:v>
      </x:c>
      <x:c r="E1262" s="7"/>
      <x:c r="F1262" s="7"/>
    </x:row>
    <x:row r="1263" ht="25" customHeight="1">
      <x:c r="A1263" s="14" t="str">
        <x:v>☐</x:v>
      </x:c>
      <x:c r="B1263" s="12" t="n">
        <x:v>940</x:v>
      </x:c>
      <x:c r="C1263" s="16" t="e">
        <x:f>HYPERLINK("https://pokecottage.com/pokemon-master-sets/wattrel","Wattrel")</x:f>
        <x:v>HYPERLINK is not implemented. linkLocation=https://pokecottage.com/pokemon-master-sets/wattrel, friendlyName=Wattrel</x:v>
      </x:c>
      <x:c r="D1263" s="8" t="str">
        <x:v>Gen 9 • Paldea</x:v>
      </x:c>
      <x:c r="E1263" s="8"/>
      <x:c r="F1263" s="8"/>
    </x:row>
    <x:row r="1264" ht="25" customHeight="1">
      <x:c r="A1264" s="13" t="str">
        <x:v>☐</x:v>
      </x:c>
      <x:c r="B1264" s="11" t="n">
        <x:v>941</x:v>
      </x:c>
      <x:c r="C1264" s="15" t="e">
        <x:f>HYPERLINK("https://pokecottage.com/pokemon-master-sets/kilowattrel","Kilowattrel")</x:f>
        <x:v>HYPERLINK is not implemented. linkLocation=https://pokecottage.com/pokemon-master-sets/kilowattrel, friendlyName=Kilowattrel</x:v>
      </x:c>
      <x:c r="D1264" s="7" t="str">
        <x:v>Gen 9 • Paldea</x:v>
      </x:c>
      <x:c r="E1264" s="7"/>
      <x:c r="F1264" s="7"/>
    </x:row>
    <x:row r="1265" ht="25" customHeight="1">
      <x:c r="A1265" s="14" t="str">
        <x:v>☐</x:v>
      </x:c>
      <x:c r="B1265" s="12" t="n">
        <x:v>942</x:v>
      </x:c>
      <x:c r="C1265" s="16" t="e">
        <x:f>HYPERLINK("https://pokecottage.com/pokemon-master-sets/maschiff","Maschiff")</x:f>
        <x:v>HYPERLINK is not implemented. linkLocation=https://pokecottage.com/pokemon-master-sets/maschiff, friendlyName=Maschiff</x:v>
      </x:c>
      <x:c r="D1265" s="8" t="str">
        <x:v>Gen 9 • Paldea</x:v>
      </x:c>
      <x:c r="E1265" s="8"/>
      <x:c r="F1265" s="8"/>
    </x:row>
    <x:row r="1266" ht="25" customHeight="1">
      <x:c r="A1266" s="13" t="str">
        <x:v>☐</x:v>
      </x:c>
      <x:c r="B1266" s="11" t="n">
        <x:v>943</x:v>
      </x:c>
      <x:c r="C1266" s="15" t="e">
        <x:f>HYPERLINK("https://pokecottage.com/pokemon-master-sets/mabosstiff","Mabosstiff")</x:f>
        <x:v>HYPERLINK is not implemented. linkLocation=https://pokecottage.com/pokemon-master-sets/mabosstiff, friendlyName=Mabosstiff</x:v>
      </x:c>
      <x:c r="D1266" s="7" t="str">
        <x:v>Gen 9 • Paldea</x:v>
      </x:c>
      <x:c r="E1266" s="7"/>
      <x:c r="F1266" s="7"/>
    </x:row>
    <x:row r="1267" ht="25" customHeight="1">
      <x:c r="A1267" s="14" t="str">
        <x:v>☐</x:v>
      </x:c>
      <x:c r="B1267" s="12" t="n">
        <x:v>944</x:v>
      </x:c>
      <x:c r="C1267" s="16" t="e">
        <x:f>HYPERLINK("https://pokecottage.com/pokemon-master-sets/shroodle","Shroodle")</x:f>
        <x:v>HYPERLINK is not implemented. linkLocation=https://pokecottage.com/pokemon-master-sets/shroodle, friendlyName=Shroodle</x:v>
      </x:c>
      <x:c r="D1267" s="8" t="str">
        <x:v>Gen 9 • Paldea</x:v>
      </x:c>
      <x:c r="E1267" s="8"/>
      <x:c r="F1267" s="8"/>
    </x:row>
    <x:row r="1268" ht="25" customHeight="1">
      <x:c r="A1268" s="13" t="str">
        <x:v>☐</x:v>
      </x:c>
      <x:c r="B1268" s="11" t="n">
        <x:v>945</x:v>
      </x:c>
      <x:c r="C1268" s="15" t="e">
        <x:f>HYPERLINK("https://pokecottage.com/pokemon-master-sets/grafaiai","Grafaiai")</x:f>
        <x:v>HYPERLINK is not implemented. linkLocation=https://pokecottage.com/pokemon-master-sets/grafaiai, friendlyName=Grafaiai</x:v>
      </x:c>
      <x:c r="D1268" s="7" t="str">
        <x:v>Gen 9 • Paldea</x:v>
      </x:c>
      <x:c r="E1268" s="7"/>
      <x:c r="F1268" s="7"/>
    </x:row>
    <x:row r="1269" ht="25" customHeight="1">
      <x:c r="A1269" s="14" t="str">
        <x:v>☐</x:v>
      </x:c>
      <x:c r="B1269" s="12" t="n">
        <x:v>946</x:v>
      </x:c>
      <x:c r="C1269" s="16" t="e">
        <x:f>HYPERLINK("https://pokecottage.com/pokemon-master-sets/bramblin","Bramblin")</x:f>
        <x:v>HYPERLINK is not implemented. linkLocation=https://pokecottage.com/pokemon-master-sets/bramblin, friendlyName=Bramblin</x:v>
      </x:c>
      <x:c r="D1269" s="8" t="str">
        <x:v>Gen 9 • Paldea</x:v>
      </x:c>
      <x:c r="E1269" s="8"/>
      <x:c r="F1269" s="8"/>
    </x:row>
    <x:row r="1270" ht="25" customHeight="1">
      <x:c r="A1270" s="13" t="str">
        <x:v>☐</x:v>
      </x:c>
      <x:c r="B1270" s="11" t="n">
        <x:v>947</x:v>
      </x:c>
      <x:c r="C1270" s="15" t="e">
        <x:f>HYPERLINK("https://pokecottage.com/pokemon-master-sets/brambleghast","Brambleghast")</x:f>
        <x:v>HYPERLINK is not implemented. linkLocation=https://pokecottage.com/pokemon-master-sets/brambleghast, friendlyName=Brambleghast</x:v>
      </x:c>
      <x:c r="D1270" s="7" t="str">
        <x:v>Gen 9 • Paldea</x:v>
      </x:c>
      <x:c r="E1270" s="7"/>
      <x:c r="F1270" s="7"/>
    </x:row>
    <x:row r="1271" ht="25" customHeight="1">
      <x:c r="A1271" s="14" t="str">
        <x:v>☐</x:v>
      </x:c>
      <x:c r="B1271" s="12" t="n">
        <x:v>948</x:v>
      </x:c>
      <x:c r="C1271" s="16" t="e">
        <x:f>HYPERLINK("https://pokecottage.com/pokemon-master-sets/toedscool","Toedscool")</x:f>
        <x:v>HYPERLINK is not implemented. linkLocation=https://pokecottage.com/pokemon-master-sets/toedscool, friendlyName=Toedscool</x:v>
      </x:c>
      <x:c r="D1271" s="8" t="str">
        <x:v>Gen 9 • Paldea</x:v>
      </x:c>
      <x:c r="E1271" s="8"/>
      <x:c r="F1271" s="8"/>
    </x:row>
    <x:row r="1272" ht="25" customHeight="1">
      <x:c r="A1272" s="13" t="str">
        <x:v>☐</x:v>
      </x:c>
      <x:c r="B1272" s="11" t="n">
        <x:v>949</x:v>
      </x:c>
      <x:c r="C1272" s="15" t="e">
        <x:f>HYPERLINK("https://pokecottage.com/pokemon-master-sets/toedscruel","Toedscruel")</x:f>
        <x:v>HYPERLINK is not implemented. linkLocation=https://pokecottage.com/pokemon-master-sets/toedscruel, friendlyName=Toedscruel</x:v>
      </x:c>
      <x:c r="D1272" s="7" t="str">
        <x:v>Gen 9 • Paldea</x:v>
      </x:c>
      <x:c r="E1272" s="7"/>
      <x:c r="F1272" s="7"/>
    </x:row>
    <x:row r="1273" ht="25" customHeight="1">
      <x:c r="A1273" s="14" t="str">
        <x:v>☐</x:v>
      </x:c>
      <x:c r="B1273" s="12" t="n">
        <x:v>950</x:v>
      </x:c>
      <x:c r="C1273" s="16" t="e">
        <x:f>HYPERLINK("https://pokecottage.com/pokemon-master-sets/klawf","Klawf")</x:f>
        <x:v>HYPERLINK is not implemented. linkLocation=https://pokecottage.com/pokemon-master-sets/klawf, friendlyName=Klawf</x:v>
      </x:c>
      <x:c r="D1273" s="8" t="str">
        <x:v>Gen 9 • Paldea</x:v>
      </x:c>
      <x:c r="E1273" s="8"/>
      <x:c r="F1273" s="8"/>
    </x:row>
    <x:row r="1274" ht="25" customHeight="1">
      <x:c r="A1274" s="13" t="str">
        <x:v>☐</x:v>
      </x:c>
      <x:c r="B1274" s="11" t="n">
        <x:v>951</x:v>
      </x:c>
      <x:c r="C1274" s="15" t="e">
        <x:f>HYPERLINK("https://pokecottage.com/pokemon-master-sets/capsakid","Capsakid")</x:f>
        <x:v>HYPERLINK is not implemented. linkLocation=https://pokecottage.com/pokemon-master-sets/capsakid, friendlyName=Capsakid</x:v>
      </x:c>
      <x:c r="D1274" s="7" t="str">
        <x:v>Gen 9 • Paldea</x:v>
      </x:c>
      <x:c r="E1274" s="7"/>
      <x:c r="F1274" s="7"/>
    </x:row>
    <x:row r="1275" ht="25" customHeight="1">
      <x:c r="A1275" s="14" t="str">
        <x:v>☐</x:v>
      </x:c>
      <x:c r="B1275" s="12" t="n">
        <x:v>952</x:v>
      </x:c>
      <x:c r="C1275" s="16" t="e">
        <x:f>HYPERLINK("https://pokecottage.com/pokemon-master-sets/scovillain","Scovillain")</x:f>
        <x:v>HYPERLINK is not implemented. linkLocation=https://pokecottage.com/pokemon-master-sets/scovillain, friendlyName=Scovillain</x:v>
      </x:c>
      <x:c r="D1275" s="8" t="str">
        <x:v>Gen 9 • Paldea</x:v>
      </x:c>
      <x:c r="E1275" s="8"/>
      <x:c r="F1275" s="8"/>
    </x:row>
    <x:row r="1276" ht="25" customHeight="1">
      <x:c r="A1276" s="13" t="str">
        <x:v>☐</x:v>
      </x:c>
      <x:c r="B1276" s="11" t="n">
        <x:v>952</x:v>
      </x:c>
      <x:c r="C1276" s="15" t="e">
        <x:f>HYPERLINK("https://pokecottage.com/pokemon-master-sets/scovillain","Mega Scovillain")</x:f>
        <x:v>HYPERLINK is not implemented. linkLocation=https://pokecottage.com/pokemon-master-sets/scovillain, friendlyName=Mega Scovillain</x:v>
      </x:c>
      <x:c r="D1276" s="7" t="str">
        <x:v>Mega Evolution</x:v>
      </x:c>
      <x:c r="E1276" s="7"/>
      <x:c r="F1276" s="7"/>
    </x:row>
    <x:row r="1277" ht="25" customHeight="1">
      <x:c r="A1277" s="14" t="str">
        <x:v>☐</x:v>
      </x:c>
      <x:c r="B1277" s="12" t="n">
        <x:v>953</x:v>
      </x:c>
      <x:c r="C1277" s="16" t="e">
        <x:f>HYPERLINK("https://pokecottage.com/pokemon-master-sets/rellor","Rellor")</x:f>
        <x:v>HYPERLINK is not implemented. linkLocation=https://pokecottage.com/pokemon-master-sets/rellor, friendlyName=Rellor</x:v>
      </x:c>
      <x:c r="D1277" s="8" t="str">
        <x:v>Gen 9 • Paldea</x:v>
      </x:c>
      <x:c r="E1277" s="8"/>
      <x:c r="F1277" s="8"/>
    </x:row>
    <x:row r="1278" ht="25" customHeight="1">
      <x:c r="A1278" s="13" t="str">
        <x:v>☐</x:v>
      </x:c>
      <x:c r="B1278" s="11" t="n">
        <x:v>954</x:v>
      </x:c>
      <x:c r="C1278" s="15" t="e">
        <x:f>HYPERLINK("https://pokecottage.com/pokemon-master-sets/rabsca","Rabsca")</x:f>
        <x:v>HYPERLINK is not implemented. linkLocation=https://pokecottage.com/pokemon-master-sets/rabsca, friendlyName=Rabsca</x:v>
      </x:c>
      <x:c r="D1278" s="7" t="str">
        <x:v>Gen 9 • Paldea</x:v>
      </x:c>
      <x:c r="E1278" s="7"/>
      <x:c r="F1278" s="7"/>
    </x:row>
    <x:row r="1279" ht="25" customHeight="1">
      <x:c r="A1279" s="14" t="str">
        <x:v>☐</x:v>
      </x:c>
      <x:c r="B1279" s="12" t="n">
        <x:v>955</x:v>
      </x:c>
      <x:c r="C1279" s="16" t="e">
        <x:f>HYPERLINK("https://pokecottage.com/pokemon-master-sets/flittle","Flittle")</x:f>
        <x:v>HYPERLINK is not implemented. linkLocation=https://pokecottage.com/pokemon-master-sets/flittle, friendlyName=Flittle</x:v>
      </x:c>
      <x:c r="D1279" s="8" t="str">
        <x:v>Gen 9 • Paldea</x:v>
      </x:c>
      <x:c r="E1279" s="8"/>
      <x:c r="F1279" s="8"/>
    </x:row>
    <x:row r="1280" ht="25" customHeight="1">
      <x:c r="A1280" s="13" t="str">
        <x:v>☐</x:v>
      </x:c>
      <x:c r="B1280" s="11" t="n">
        <x:v>956</x:v>
      </x:c>
      <x:c r="C1280" s="15" t="e">
        <x:f>HYPERLINK("https://pokecottage.com/pokemon-master-sets/espathra","Espathra")</x:f>
        <x:v>HYPERLINK is not implemented. linkLocation=https://pokecottage.com/pokemon-master-sets/espathra, friendlyName=Espathra</x:v>
      </x:c>
      <x:c r="D1280" s="7" t="str">
        <x:v>Gen 9 • Paldea</x:v>
      </x:c>
      <x:c r="E1280" s="7"/>
      <x:c r="F1280" s="7"/>
    </x:row>
    <x:row r="1281" ht="25" customHeight="1">
      <x:c r="A1281" s="14" t="str">
        <x:v>☐</x:v>
      </x:c>
      <x:c r="B1281" s="12" t="n">
        <x:v>957</x:v>
      </x:c>
      <x:c r="C1281" s="16" t="e">
        <x:f>HYPERLINK("https://pokecottage.com/pokemon-master-sets/tinkatink","Tinkatink")</x:f>
        <x:v>HYPERLINK is not implemented. linkLocation=https://pokecottage.com/pokemon-master-sets/tinkatink, friendlyName=Tinkatink</x:v>
      </x:c>
      <x:c r="D1281" s="8" t="str">
        <x:v>Gen 9 • Paldea</x:v>
      </x:c>
      <x:c r="E1281" s="8"/>
      <x:c r="F1281" s="8"/>
    </x:row>
    <x:row r="1282" ht="25" customHeight="1">
      <x:c r="A1282" s="13" t="str">
        <x:v>☐</x:v>
      </x:c>
      <x:c r="B1282" s="11" t="n">
        <x:v>958</x:v>
      </x:c>
      <x:c r="C1282" s="15" t="e">
        <x:f>HYPERLINK("https://pokecottage.com/pokemon-master-sets/tinkatuff","Tinkatuff")</x:f>
        <x:v>HYPERLINK is not implemented. linkLocation=https://pokecottage.com/pokemon-master-sets/tinkatuff, friendlyName=Tinkatuff</x:v>
      </x:c>
      <x:c r="D1282" s="7" t="str">
        <x:v>Gen 9 • Paldea</x:v>
      </x:c>
      <x:c r="E1282" s="7"/>
      <x:c r="F1282" s="7"/>
    </x:row>
    <x:row r="1283" ht="25" customHeight="1">
      <x:c r="A1283" s="14" t="str">
        <x:v>☐</x:v>
      </x:c>
      <x:c r="B1283" s="12" t="n">
        <x:v>959</x:v>
      </x:c>
      <x:c r="C1283" s="16" t="e">
        <x:f>HYPERLINK("https://pokecottage.com/pokemon-master-sets/tinkaton","Tinkaton")</x:f>
        <x:v>HYPERLINK is not implemented. linkLocation=https://pokecottage.com/pokemon-master-sets/tinkaton, friendlyName=Tinkaton</x:v>
      </x:c>
      <x:c r="D1283" s="8" t="str">
        <x:v>Gen 9 • Paldea</x:v>
      </x:c>
      <x:c r="E1283" s="8"/>
      <x:c r="F1283" s="8"/>
    </x:row>
    <x:row r="1284" ht="25" customHeight="1">
      <x:c r="A1284" s="13" t="str">
        <x:v>☐</x:v>
      </x:c>
      <x:c r="B1284" s="11" t="n">
        <x:v>960</x:v>
      </x:c>
      <x:c r="C1284" s="15" t="e">
        <x:f>HYPERLINK("https://pokecottage.com/pokemon-master-sets/wiglett","Wiglett")</x:f>
        <x:v>HYPERLINK is not implemented. linkLocation=https://pokecottage.com/pokemon-master-sets/wiglett, friendlyName=Wiglett</x:v>
      </x:c>
      <x:c r="D1284" s="7" t="str">
        <x:v>Gen 9 • Paldea</x:v>
      </x:c>
      <x:c r="E1284" s="7"/>
      <x:c r="F1284" s="7"/>
    </x:row>
    <x:row r="1285" ht="25" customHeight="1">
      <x:c r="A1285" s="14" t="str">
        <x:v>☐</x:v>
      </x:c>
      <x:c r="B1285" s="12" t="n">
        <x:v>961</x:v>
      </x:c>
      <x:c r="C1285" s="16" t="e">
        <x:f>HYPERLINK("https://pokecottage.com/pokemon-master-sets/wugtrio","Wugtrio")</x:f>
        <x:v>HYPERLINK is not implemented. linkLocation=https://pokecottage.com/pokemon-master-sets/wugtrio, friendlyName=Wugtrio</x:v>
      </x:c>
      <x:c r="D1285" s="8" t="str">
        <x:v>Gen 9 • Paldea</x:v>
      </x:c>
      <x:c r="E1285" s="8"/>
      <x:c r="F1285" s="8"/>
    </x:row>
    <x:row r="1286" ht="25" customHeight="1">
      <x:c r="A1286" s="13" t="str">
        <x:v>☐</x:v>
      </x:c>
      <x:c r="B1286" s="11" t="n">
        <x:v>962</x:v>
      </x:c>
      <x:c r="C1286" s="15" t="e">
        <x:f>HYPERLINK("https://pokecottage.com/pokemon-master-sets/bombirdier","Bombirdier")</x:f>
        <x:v>HYPERLINK is not implemented. linkLocation=https://pokecottage.com/pokemon-master-sets/bombirdier, friendlyName=Bombirdier</x:v>
      </x:c>
      <x:c r="D1286" s="7" t="str">
        <x:v>Gen 9 • Paldea</x:v>
      </x:c>
      <x:c r="E1286" s="7"/>
      <x:c r="F1286" s="7"/>
    </x:row>
    <x:row r="1287" ht="25" customHeight="1">
      <x:c r="A1287" s="14" t="str">
        <x:v>☐</x:v>
      </x:c>
      <x:c r="B1287" s="12" t="n">
        <x:v>963</x:v>
      </x:c>
      <x:c r="C1287" s="16" t="e">
        <x:f>HYPERLINK("https://pokecottage.com/pokemon-master-sets/finizen","Finizen")</x:f>
        <x:v>HYPERLINK is not implemented. linkLocation=https://pokecottage.com/pokemon-master-sets/finizen, friendlyName=Finizen</x:v>
      </x:c>
      <x:c r="D1287" s="8" t="str">
        <x:v>Gen 9 • Paldea</x:v>
      </x:c>
      <x:c r="E1287" s="8"/>
      <x:c r="F1287" s="8"/>
    </x:row>
    <x:row r="1288" ht="25" customHeight="1">
      <x:c r="A1288" s="13" t="str">
        <x:v>☐</x:v>
      </x:c>
      <x:c r="B1288" s="11" t="n">
        <x:v>964</x:v>
      </x:c>
      <x:c r="C1288" s="15" t="e">
        <x:f>HYPERLINK("https://pokecottage.com/pokemon-master-sets/palafin","Palafin (Zero Form)")</x:f>
        <x:v>HYPERLINK is not implemented. linkLocation=https://pokecottage.com/pokemon-master-sets/palafin, friendlyName=Palafin (Zero Form)</x:v>
      </x:c>
      <x:c r="D1288" s="7" t="str">
        <x:v>Other Form</x:v>
      </x:c>
      <x:c r="E1288" s="7"/>
      <x:c r="F1288" s="7"/>
    </x:row>
    <x:row r="1289" ht="25" customHeight="1">
      <x:c r="A1289" s="14" t="str">
        <x:v>☐</x:v>
      </x:c>
      <x:c r="B1289" s="12" t="n">
        <x:v>964</x:v>
      </x:c>
      <x:c r="C1289" s="16" t="e">
        <x:f>HYPERLINK("https://pokecottage.com/pokemon-master-sets/palafin","Palafin (Hero Form)")</x:f>
        <x:v>HYPERLINK is not implemented. linkLocation=https://pokecottage.com/pokemon-master-sets/palafin, friendlyName=Palafin (Hero Form)</x:v>
      </x:c>
      <x:c r="D1289" s="8" t="str">
        <x:v>Other Form</x:v>
      </x:c>
      <x:c r="E1289" s="8"/>
      <x:c r="F1289" s="8"/>
    </x:row>
    <x:row r="1290" ht="25" customHeight="1">
      <x:c r="A1290" s="13" t="str">
        <x:v>☐</x:v>
      </x:c>
      <x:c r="B1290" s="11" t="n">
        <x:v>965</x:v>
      </x:c>
      <x:c r="C1290" s="15" t="e">
        <x:f>HYPERLINK("https://pokecottage.com/pokemon-master-sets/varoom","Varoom")</x:f>
        <x:v>HYPERLINK is not implemented. linkLocation=https://pokecottage.com/pokemon-master-sets/varoom, friendlyName=Varoom</x:v>
      </x:c>
      <x:c r="D1290" s="7" t="str">
        <x:v>Gen 9 • Paldea</x:v>
      </x:c>
      <x:c r="E1290" s="7"/>
      <x:c r="F1290" s="7"/>
    </x:row>
    <x:row r="1291" ht="25" customHeight="1">
      <x:c r="A1291" s="14" t="str">
        <x:v>☐</x:v>
      </x:c>
      <x:c r="B1291" s="12" t="n">
        <x:v>966</x:v>
      </x:c>
      <x:c r="C1291" s="16" t="e">
        <x:f>HYPERLINK("https://pokecottage.com/pokemon-master-sets/revavroom","Revavroom")</x:f>
        <x:v>HYPERLINK is not implemented. linkLocation=https://pokecottage.com/pokemon-master-sets/revavroom, friendlyName=Revavroom</x:v>
      </x:c>
      <x:c r="D1291" s="8" t="str">
        <x:v>Gen 9 • Paldea</x:v>
      </x:c>
      <x:c r="E1291" s="8"/>
      <x:c r="F1291" s="8"/>
    </x:row>
    <x:row r="1292" ht="25" customHeight="1">
      <x:c r="A1292" s="13" t="str">
        <x:v>☐</x:v>
      </x:c>
      <x:c r="B1292" s="11" t="n">
        <x:v>967</x:v>
      </x:c>
      <x:c r="C1292" s="15" t="e">
        <x:f>HYPERLINK("https://pokecottage.com/pokemon-master-sets/cyclizar","Cyclizar")</x:f>
        <x:v>HYPERLINK is not implemented. linkLocation=https://pokecottage.com/pokemon-master-sets/cyclizar, friendlyName=Cyclizar</x:v>
      </x:c>
      <x:c r="D1292" s="7" t="str">
        <x:v>Gen 9 • Paldea</x:v>
      </x:c>
      <x:c r="E1292" s="7"/>
      <x:c r="F1292" s="7"/>
    </x:row>
    <x:row r="1293" ht="25" customHeight="1">
      <x:c r="A1293" s="14" t="str">
        <x:v>☐</x:v>
      </x:c>
      <x:c r="B1293" s="12" t="n">
        <x:v>968</x:v>
      </x:c>
      <x:c r="C1293" s="16" t="e">
        <x:f>HYPERLINK("https://pokecottage.com/pokemon-master-sets/orthworm","Orthworm")</x:f>
        <x:v>HYPERLINK is not implemented. linkLocation=https://pokecottage.com/pokemon-master-sets/orthworm, friendlyName=Orthworm</x:v>
      </x:c>
      <x:c r="D1293" s="8" t="str">
        <x:v>Gen 9 • Paldea</x:v>
      </x:c>
      <x:c r="E1293" s="8"/>
      <x:c r="F1293" s="8"/>
    </x:row>
    <x:row r="1294" ht="25" customHeight="1">
      <x:c r="A1294" s="13" t="str">
        <x:v>☐</x:v>
      </x:c>
      <x:c r="B1294" s="11" t="n">
        <x:v>969</x:v>
      </x:c>
      <x:c r="C1294" s="15" t="e">
        <x:f>HYPERLINK("https://pokecottage.com/pokemon-master-sets/glimmet","Glimmet")</x:f>
        <x:v>HYPERLINK is not implemented. linkLocation=https://pokecottage.com/pokemon-master-sets/glimmet, friendlyName=Glimmet</x:v>
      </x:c>
      <x:c r="D1294" s="7" t="str">
        <x:v>Gen 9 • Paldea</x:v>
      </x:c>
      <x:c r="E1294" s="7"/>
      <x:c r="F1294" s="7"/>
    </x:row>
    <x:row r="1295" ht="25" customHeight="1">
      <x:c r="A1295" s="14" t="str">
        <x:v>☐</x:v>
      </x:c>
      <x:c r="B1295" s="12" t="n">
        <x:v>970</x:v>
      </x:c>
      <x:c r="C1295" s="16" t="e">
        <x:f>HYPERLINK("https://pokecottage.com/pokemon-master-sets/glimmora","Glimmora")</x:f>
        <x:v>HYPERLINK is not implemented. linkLocation=https://pokecottage.com/pokemon-master-sets/glimmora, friendlyName=Glimmora</x:v>
      </x:c>
      <x:c r="D1295" s="8" t="str">
        <x:v>Gen 9 • Paldea</x:v>
      </x:c>
      <x:c r="E1295" s="8"/>
      <x:c r="F1295" s="8"/>
    </x:row>
    <x:row r="1296" ht="25" customHeight="1">
      <x:c r="A1296" s="13" t="str">
        <x:v>☐</x:v>
      </x:c>
      <x:c r="B1296" s="11" t="n">
        <x:v>970</x:v>
      </x:c>
      <x:c r="C1296" s="15" t="e">
        <x:f>HYPERLINK("https://pokecottage.com/pokemon-master-sets/glimmora","Mega Glimmora")</x:f>
        <x:v>HYPERLINK is not implemented. linkLocation=https://pokecottage.com/pokemon-master-sets/glimmora, friendlyName=Mega Glimmora</x:v>
      </x:c>
      <x:c r="D1296" s="7" t="str">
        <x:v>Mega Evolution</x:v>
      </x:c>
      <x:c r="E1296" s="7"/>
      <x:c r="F1296" s="7"/>
    </x:row>
    <x:row r="1297" ht="25" customHeight="1">
      <x:c r="A1297" s="14" t="str">
        <x:v>☐</x:v>
      </x:c>
      <x:c r="B1297" s="12" t="n">
        <x:v>971</x:v>
      </x:c>
      <x:c r="C1297" s="16" t="e">
        <x:f>HYPERLINK("https://pokecottage.com/pokemon-master-sets/greavard","Greavard")</x:f>
        <x:v>HYPERLINK is not implemented. linkLocation=https://pokecottage.com/pokemon-master-sets/greavard, friendlyName=Greavard</x:v>
      </x:c>
      <x:c r="D1297" s="8" t="str">
        <x:v>Gen 9 • Paldea</x:v>
      </x:c>
      <x:c r="E1297" s="8"/>
      <x:c r="F1297" s="8"/>
    </x:row>
    <x:row r="1298" ht="25" customHeight="1">
      <x:c r="A1298" s="13" t="str">
        <x:v>☐</x:v>
      </x:c>
      <x:c r="B1298" s="11" t="n">
        <x:v>972</x:v>
      </x:c>
      <x:c r="C1298" s="15" t="e">
        <x:f>HYPERLINK("https://pokecottage.com/pokemon-master-sets/houndstone","Houndstone")</x:f>
        <x:v>HYPERLINK is not implemented. linkLocation=https://pokecottage.com/pokemon-master-sets/houndstone, friendlyName=Houndstone</x:v>
      </x:c>
      <x:c r="D1298" s="7" t="str">
        <x:v>Gen 9 • Paldea</x:v>
      </x:c>
      <x:c r="E1298" s="7"/>
      <x:c r="F1298" s="7"/>
    </x:row>
    <x:row r="1299" ht="25" customHeight="1">
      <x:c r="A1299" s="14" t="str">
        <x:v>☐</x:v>
      </x:c>
      <x:c r="B1299" s="12" t="n">
        <x:v>973</x:v>
      </x:c>
      <x:c r="C1299" s="16" t="e">
        <x:f>HYPERLINK("https://pokecottage.com/pokemon-master-sets/flamigo","Flamigo")</x:f>
        <x:v>HYPERLINK is not implemented. linkLocation=https://pokecottage.com/pokemon-master-sets/flamigo, friendlyName=Flamigo</x:v>
      </x:c>
      <x:c r="D1299" s="8" t="str">
        <x:v>Gen 9 • Paldea</x:v>
      </x:c>
      <x:c r="E1299" s="8"/>
      <x:c r="F1299" s="8"/>
    </x:row>
    <x:row r="1300" ht="25" customHeight="1">
      <x:c r="A1300" s="13" t="str">
        <x:v>☐</x:v>
      </x:c>
      <x:c r="B1300" s="11" t="n">
        <x:v>974</x:v>
      </x:c>
      <x:c r="C1300" s="15" t="e">
        <x:f>HYPERLINK("https://pokecottage.com/pokemon-master-sets/cetoddle","Cetoddle")</x:f>
        <x:v>HYPERLINK is not implemented. linkLocation=https://pokecottage.com/pokemon-master-sets/cetoddle, friendlyName=Cetoddle</x:v>
      </x:c>
      <x:c r="D1300" s="7" t="str">
        <x:v>Gen 9 • Paldea</x:v>
      </x:c>
      <x:c r="E1300" s="7"/>
      <x:c r="F1300" s="7"/>
    </x:row>
    <x:row r="1301" ht="25" customHeight="1">
      <x:c r="A1301" s="14" t="str">
        <x:v>☐</x:v>
      </x:c>
      <x:c r="B1301" s="12" t="n">
        <x:v>975</x:v>
      </x:c>
      <x:c r="C1301" s="16" t="e">
        <x:f>HYPERLINK("https://pokecottage.com/pokemon-master-sets/cetitan","Cetitan")</x:f>
        <x:v>HYPERLINK is not implemented. linkLocation=https://pokecottage.com/pokemon-master-sets/cetitan, friendlyName=Cetitan</x:v>
      </x:c>
      <x:c r="D1301" s="8" t="str">
        <x:v>Gen 9 • Paldea</x:v>
      </x:c>
      <x:c r="E1301" s="8"/>
      <x:c r="F1301" s="8"/>
    </x:row>
    <x:row r="1302" ht="25" customHeight="1">
      <x:c r="A1302" s="13" t="str">
        <x:v>☐</x:v>
      </x:c>
      <x:c r="B1302" s="11" t="n">
        <x:v>976</x:v>
      </x:c>
      <x:c r="C1302" s="15" t="e">
        <x:f>HYPERLINK("https://pokecottage.com/pokemon-master-sets/veluza","Veluza")</x:f>
        <x:v>HYPERLINK is not implemented. linkLocation=https://pokecottage.com/pokemon-master-sets/veluza, friendlyName=Veluza</x:v>
      </x:c>
      <x:c r="D1302" s="7" t="str">
        <x:v>Gen 9 • Paldea</x:v>
      </x:c>
      <x:c r="E1302" s="7"/>
      <x:c r="F1302" s="7"/>
    </x:row>
    <x:row r="1303" ht="25" customHeight="1">
      <x:c r="A1303" s="14" t="str">
        <x:v>☐</x:v>
      </x:c>
      <x:c r="B1303" s="12" t="n">
        <x:v>977</x:v>
      </x:c>
      <x:c r="C1303" s="16" t="e">
        <x:f>HYPERLINK("https://pokecottage.com/pokemon-master-sets/dondozo","Dondozo")</x:f>
        <x:v>HYPERLINK is not implemented. linkLocation=https://pokecottage.com/pokemon-master-sets/dondozo, friendlyName=Dondozo</x:v>
      </x:c>
      <x:c r="D1303" s="8" t="str">
        <x:v>Gen 9 • Paldea</x:v>
      </x:c>
      <x:c r="E1303" s="8"/>
      <x:c r="F1303" s="8"/>
    </x:row>
    <x:row r="1304" ht="25" customHeight="1">
      <x:c r="A1304" s="13" t="str">
        <x:v>☐</x:v>
      </x:c>
      <x:c r="B1304" s="11" t="n">
        <x:v>978</x:v>
      </x:c>
      <x:c r="C1304" s="15" t="e">
        <x:f>HYPERLINK("https://pokecottage.com/pokemon-master-sets/tatsugiri","Tatsugiri (Curly Form)")</x:f>
        <x:v>HYPERLINK is not implemented. linkLocation=https://pokecottage.com/pokemon-master-sets/tatsugiri, friendlyName=Tatsugiri (Curly Form)</x:v>
      </x:c>
      <x:c r="D1304" s="7" t="str">
        <x:v>Other Form</x:v>
      </x:c>
      <x:c r="E1304" s="7"/>
      <x:c r="F1304" s="7"/>
    </x:row>
    <x:row r="1305" ht="25" customHeight="1">
      <x:c r="A1305" s="14" t="str">
        <x:v>☐</x:v>
      </x:c>
      <x:c r="B1305" s="12" t="n">
        <x:v>978</x:v>
      </x:c>
      <x:c r="C1305" s="16" t="e">
        <x:f>HYPERLINK("https://pokecottage.com/pokemon-master-sets/tatsugiri","Tatsugiri (Droopy Form)")</x:f>
        <x:v>HYPERLINK is not implemented. linkLocation=https://pokecottage.com/pokemon-master-sets/tatsugiri, friendlyName=Tatsugiri (Droopy Form)</x:v>
      </x:c>
      <x:c r="D1305" s="8" t="str">
        <x:v>Other Form</x:v>
      </x:c>
      <x:c r="E1305" s="8"/>
      <x:c r="F1305" s="8"/>
    </x:row>
    <x:row r="1306" ht="25" customHeight="1">
      <x:c r="A1306" s="13" t="str">
        <x:v>☐</x:v>
      </x:c>
      <x:c r="B1306" s="11" t="n">
        <x:v>978</x:v>
      </x:c>
      <x:c r="C1306" s="15" t="e">
        <x:f>HYPERLINK("https://pokecottage.com/pokemon-master-sets/tatsugiri","Tatsugiri (Stretchy Form)")</x:f>
        <x:v>HYPERLINK is not implemented. linkLocation=https://pokecottage.com/pokemon-master-sets/tatsugiri, friendlyName=Tatsugiri (Stretchy Form)</x:v>
      </x:c>
      <x:c r="D1306" s="7" t="str">
        <x:v>Other Form</x:v>
      </x:c>
      <x:c r="E1306" s="7"/>
      <x:c r="F1306" s="7"/>
    </x:row>
    <x:row r="1307" ht="25" customHeight="1">
      <x:c r="A1307" s="14" t="str">
        <x:v>☐</x:v>
      </x:c>
      <x:c r="B1307" s="12" t="n">
        <x:v>978</x:v>
      </x:c>
      <x:c r="C1307" s="16" t="e">
        <x:f>HYPERLINK("https://pokecottage.com/pokemon-master-sets/tatsugiri","Mega Tatsugiri (Curly Form)")</x:f>
        <x:v>HYPERLINK is not implemented. linkLocation=https://pokecottage.com/pokemon-master-sets/tatsugiri, friendlyName=Mega Tatsugiri (Curly Form)</x:v>
      </x:c>
      <x:c r="D1307" s="8" t="str">
        <x:v>Mega Evolution</x:v>
      </x:c>
      <x:c r="E1307" s="8"/>
      <x:c r="F1307" s="8"/>
    </x:row>
    <x:row r="1308" ht="25" customHeight="1">
      <x:c r="A1308" s="13" t="str">
        <x:v>☐</x:v>
      </x:c>
      <x:c r="B1308" s="11" t="n">
        <x:v>978</x:v>
      </x:c>
      <x:c r="C1308" s="15" t="e">
        <x:f>HYPERLINK("https://pokecottage.com/pokemon-master-sets/tatsugiri","Mega Tatsugiri (Droopy Form)")</x:f>
        <x:v>HYPERLINK is not implemented. linkLocation=https://pokecottage.com/pokemon-master-sets/tatsugiri, friendlyName=Mega Tatsugiri (Droopy Form)</x:v>
      </x:c>
      <x:c r="D1308" s="7" t="str">
        <x:v>Mega Evolution</x:v>
      </x:c>
      <x:c r="E1308" s="7"/>
      <x:c r="F1308" s="7"/>
    </x:row>
    <x:row r="1309" ht="25" customHeight="1">
      <x:c r="A1309" s="14" t="str">
        <x:v>☐</x:v>
      </x:c>
      <x:c r="B1309" s="12" t="n">
        <x:v>978</x:v>
      </x:c>
      <x:c r="C1309" s="16" t="e">
        <x:f>HYPERLINK("https://pokecottage.com/pokemon-master-sets/tatsugiri","Mega Tatsugiri (Stretchy Form)")</x:f>
        <x:v>HYPERLINK is not implemented. linkLocation=https://pokecottage.com/pokemon-master-sets/tatsugiri, friendlyName=Mega Tatsugiri (Stretchy Form)</x:v>
      </x:c>
      <x:c r="D1309" s="8" t="str">
        <x:v>Mega Evolution</x:v>
      </x:c>
      <x:c r="E1309" s="8"/>
      <x:c r="F1309" s="8"/>
    </x:row>
    <x:row r="1310" ht="25" customHeight="1">
      <x:c r="A1310" s="13" t="str">
        <x:v>☐</x:v>
      </x:c>
      <x:c r="B1310" s="11" t="n">
        <x:v>979</x:v>
      </x:c>
      <x:c r="C1310" s="15" t="e">
        <x:f>HYPERLINK("https://pokecottage.com/pokemon-master-sets/annihilape","Annihilape")</x:f>
        <x:v>HYPERLINK is not implemented. linkLocation=https://pokecottage.com/pokemon-master-sets/annihilape, friendlyName=Annihilape</x:v>
      </x:c>
      <x:c r="D1310" s="7" t="str">
        <x:v>Gen 9 • Paldea</x:v>
      </x:c>
      <x:c r="E1310" s="7"/>
      <x:c r="F1310" s="7"/>
    </x:row>
    <x:row r="1311" ht="25" customHeight="1">
      <x:c r="A1311" s="14" t="str">
        <x:v>☐</x:v>
      </x:c>
      <x:c r="B1311" s="12" t="n">
        <x:v>980</x:v>
      </x:c>
      <x:c r="C1311" s="16" t="e">
        <x:f>HYPERLINK("https://pokecottage.com/pokemon-master-sets/clodsire","Clodsire")</x:f>
        <x:v>HYPERLINK is not implemented. linkLocation=https://pokecottage.com/pokemon-master-sets/clodsire, friendlyName=Clodsire</x:v>
      </x:c>
      <x:c r="D1311" s="8" t="str">
        <x:v>Gen 9 • Paldea</x:v>
      </x:c>
      <x:c r="E1311" s="8"/>
      <x:c r="F1311" s="8"/>
    </x:row>
    <x:row r="1312" ht="25" customHeight="1">
      <x:c r="A1312" s="13" t="str">
        <x:v>☐</x:v>
      </x:c>
      <x:c r="B1312" s="11" t="n">
        <x:v>981</x:v>
      </x:c>
      <x:c r="C1312" s="15" t="e">
        <x:f>HYPERLINK("https://pokecottage.com/pokemon-master-sets/farigiraf","Farigiraf")</x:f>
        <x:v>HYPERLINK is not implemented. linkLocation=https://pokecottage.com/pokemon-master-sets/farigiraf, friendlyName=Farigiraf</x:v>
      </x:c>
      <x:c r="D1312" s="7" t="str">
        <x:v>Gen 9 • Paldea</x:v>
      </x:c>
      <x:c r="E1312" s="7"/>
      <x:c r="F1312" s="7"/>
    </x:row>
    <x:row r="1313" ht="25" customHeight="1">
      <x:c r="A1313" s="14" t="str">
        <x:v>☐</x:v>
      </x:c>
      <x:c r="B1313" s="12" t="n">
        <x:v>982</x:v>
      </x:c>
      <x:c r="C1313" s="16" t="e">
        <x:f>HYPERLINK("https://pokecottage.com/pokemon-master-sets/dudunsparce","Dudunsparce")</x:f>
        <x:v>HYPERLINK is not implemented. linkLocation=https://pokecottage.com/pokemon-master-sets/dudunsparce, friendlyName=Dudunsparce</x:v>
      </x:c>
      <x:c r="D1313" s="8" t="str">
        <x:v>Gen 9 • Paldea</x:v>
      </x:c>
      <x:c r="E1313" s="8"/>
      <x:c r="F1313" s="8"/>
    </x:row>
    <x:row r="1314" ht="25" customHeight="1">
      <x:c r="A1314" s="13" t="str">
        <x:v>☐</x:v>
      </x:c>
      <x:c r="B1314" s="11" t="n">
        <x:v>983</x:v>
      </x:c>
      <x:c r="C1314" s="15" t="e">
        <x:f>HYPERLINK("https://pokecottage.com/pokemon-master-sets/kingambit","Kingambit")</x:f>
        <x:v>HYPERLINK is not implemented. linkLocation=https://pokecottage.com/pokemon-master-sets/kingambit, friendlyName=Kingambit</x:v>
      </x:c>
      <x:c r="D1314" s="7" t="str">
        <x:v>Gen 9 • Paldea</x:v>
      </x:c>
      <x:c r="E1314" s="7"/>
      <x:c r="F1314" s="7"/>
    </x:row>
    <x:row r="1315" ht="25" customHeight="1">
      <x:c r="A1315" s="14" t="str">
        <x:v>☐</x:v>
      </x:c>
      <x:c r="B1315" s="12" t="n">
        <x:v>984</x:v>
      </x:c>
      <x:c r="C1315" s="16" t="e">
        <x:f>HYPERLINK("https://pokecottage.com/pokemon-master-sets/great-tusk","Great Tusk")</x:f>
        <x:v>HYPERLINK is not implemented. linkLocation=https://pokecottage.com/pokemon-master-sets/great-tusk, friendlyName=Great Tusk</x:v>
      </x:c>
      <x:c r="D1315" s="8" t="str">
        <x:v>Gen 9 • Paldea</x:v>
      </x:c>
      <x:c r="E1315" s="8"/>
      <x:c r="F1315" s="8"/>
    </x:row>
    <x:row r="1316" ht="25" customHeight="1">
      <x:c r="A1316" s="13" t="str">
        <x:v>☐</x:v>
      </x:c>
      <x:c r="B1316" s="11" t="n">
        <x:v>985</x:v>
      </x:c>
      <x:c r="C1316" s="15" t="e">
        <x:f>HYPERLINK("https://pokecottage.com/pokemon-master-sets/scream-tail","Scream Tail")</x:f>
        <x:v>HYPERLINK is not implemented. linkLocation=https://pokecottage.com/pokemon-master-sets/scream-tail, friendlyName=Scream Tail</x:v>
      </x:c>
      <x:c r="D1316" s="7" t="str">
        <x:v>Gen 9 • Paldea</x:v>
      </x:c>
      <x:c r="E1316" s="7"/>
      <x:c r="F1316" s="7"/>
    </x:row>
    <x:row r="1317" ht="25" customHeight="1">
      <x:c r="A1317" s="14" t="str">
        <x:v>☐</x:v>
      </x:c>
      <x:c r="B1317" s="12" t="n">
        <x:v>986</x:v>
      </x:c>
      <x:c r="C1317" s="16" t="e">
        <x:f>HYPERLINK("https://pokecottage.com/pokemon-master-sets/brute-bonnet","Brute Bonnet")</x:f>
        <x:v>HYPERLINK is not implemented. linkLocation=https://pokecottage.com/pokemon-master-sets/brute-bonnet, friendlyName=Brute Bonnet</x:v>
      </x:c>
      <x:c r="D1317" s="8" t="str">
        <x:v>Gen 9 • Paldea</x:v>
      </x:c>
      <x:c r="E1317" s="8"/>
      <x:c r="F1317" s="8"/>
    </x:row>
    <x:row r="1318" ht="25" customHeight="1">
      <x:c r="A1318" s="13" t="str">
        <x:v>☐</x:v>
      </x:c>
      <x:c r="B1318" s="11" t="n">
        <x:v>987</x:v>
      </x:c>
      <x:c r="C1318" s="15" t="e">
        <x:f>HYPERLINK("https://pokecottage.com/pokemon-master-sets/flutter-mane","Flutter Mane")</x:f>
        <x:v>HYPERLINK is not implemented. linkLocation=https://pokecottage.com/pokemon-master-sets/flutter-mane, friendlyName=Flutter Mane</x:v>
      </x:c>
      <x:c r="D1318" s="7" t="str">
        <x:v>Gen 9 • Paldea</x:v>
      </x:c>
      <x:c r="E1318" s="7"/>
      <x:c r="F1318" s="7"/>
    </x:row>
    <x:row r="1319" ht="25" customHeight="1">
      <x:c r="A1319" s="14" t="str">
        <x:v>☐</x:v>
      </x:c>
      <x:c r="B1319" s="12" t="n">
        <x:v>988</x:v>
      </x:c>
      <x:c r="C1319" s="16" t="e">
        <x:f>HYPERLINK("https://pokecottage.com/pokemon-master-sets/slither-wing","Slither Wing")</x:f>
        <x:v>HYPERLINK is not implemented. linkLocation=https://pokecottage.com/pokemon-master-sets/slither-wing, friendlyName=Slither Wing</x:v>
      </x:c>
      <x:c r="D1319" s="8" t="str">
        <x:v>Gen 9 • Paldea</x:v>
      </x:c>
      <x:c r="E1319" s="8"/>
      <x:c r="F1319" s="8"/>
    </x:row>
    <x:row r="1320" ht="25" customHeight="1">
      <x:c r="A1320" s="13" t="str">
        <x:v>☐</x:v>
      </x:c>
      <x:c r="B1320" s="11" t="n">
        <x:v>989</x:v>
      </x:c>
      <x:c r="C1320" s="15" t="e">
        <x:f>HYPERLINK("https://pokecottage.com/pokemon-master-sets/sandy-shocks","Sandy Shocks")</x:f>
        <x:v>HYPERLINK is not implemented. linkLocation=https://pokecottage.com/pokemon-master-sets/sandy-shocks, friendlyName=Sandy Shocks</x:v>
      </x:c>
      <x:c r="D1320" s="7" t="str">
        <x:v>Gen 9 • Paldea</x:v>
      </x:c>
      <x:c r="E1320" s="7"/>
      <x:c r="F1320" s="7"/>
    </x:row>
    <x:row r="1321" ht="25" customHeight="1">
      <x:c r="A1321" s="14" t="str">
        <x:v>☐</x:v>
      </x:c>
      <x:c r="B1321" s="12" t="n">
        <x:v>990</x:v>
      </x:c>
      <x:c r="C1321" s="16" t="e">
        <x:f>HYPERLINK("https://pokecottage.com/pokemon-master-sets/iron-treads","Iron Treads")</x:f>
        <x:v>HYPERLINK is not implemented. linkLocation=https://pokecottage.com/pokemon-master-sets/iron-treads, friendlyName=Iron Treads</x:v>
      </x:c>
      <x:c r="D1321" s="8" t="str">
        <x:v>Gen 9 • Paldea</x:v>
      </x:c>
      <x:c r="E1321" s="8"/>
      <x:c r="F1321" s="8"/>
    </x:row>
    <x:row r="1322" ht="25" customHeight="1">
      <x:c r="A1322" s="13" t="str">
        <x:v>☐</x:v>
      </x:c>
      <x:c r="B1322" s="11" t="n">
        <x:v>991</x:v>
      </x:c>
      <x:c r="C1322" s="15" t="e">
        <x:f>HYPERLINK("https://pokecottage.com/pokemon-master-sets/iron-bundle","Iron Bundle")</x:f>
        <x:v>HYPERLINK is not implemented. linkLocation=https://pokecottage.com/pokemon-master-sets/iron-bundle, friendlyName=Iron Bundle</x:v>
      </x:c>
      <x:c r="D1322" s="7" t="str">
        <x:v>Gen 9 • Paldea</x:v>
      </x:c>
      <x:c r="E1322" s="7"/>
      <x:c r="F1322" s="7"/>
    </x:row>
    <x:row r="1323" ht="25" customHeight="1">
      <x:c r="A1323" s="14" t="str">
        <x:v>☐</x:v>
      </x:c>
      <x:c r="B1323" s="12" t="n">
        <x:v>992</x:v>
      </x:c>
      <x:c r="C1323" s="16" t="e">
        <x:f>HYPERLINK("https://pokecottage.com/pokemon-master-sets/iron-hands","Iron Hands")</x:f>
        <x:v>HYPERLINK is not implemented. linkLocation=https://pokecottage.com/pokemon-master-sets/iron-hands, friendlyName=Iron Hands</x:v>
      </x:c>
      <x:c r="D1323" s="8" t="str">
        <x:v>Gen 9 • Paldea</x:v>
      </x:c>
      <x:c r="E1323" s="8"/>
      <x:c r="F1323" s="8"/>
    </x:row>
    <x:row r="1324" ht="25" customHeight="1">
      <x:c r="A1324" s="13" t="str">
        <x:v>☐</x:v>
      </x:c>
      <x:c r="B1324" s="11" t="n">
        <x:v>993</x:v>
      </x:c>
      <x:c r="C1324" s="15" t="e">
        <x:f>HYPERLINK("https://pokecottage.com/pokemon-master-sets/iron-jugulis","Iron Jugulis")</x:f>
        <x:v>HYPERLINK is not implemented. linkLocation=https://pokecottage.com/pokemon-master-sets/iron-jugulis, friendlyName=Iron Jugulis</x:v>
      </x:c>
      <x:c r="D1324" s="7" t="str">
        <x:v>Gen 9 • Paldea</x:v>
      </x:c>
      <x:c r="E1324" s="7"/>
      <x:c r="F1324" s="7"/>
    </x:row>
    <x:row r="1325" ht="25" customHeight="1">
      <x:c r="A1325" s="14" t="str">
        <x:v>☐</x:v>
      </x:c>
      <x:c r="B1325" s="12" t="n">
        <x:v>994</x:v>
      </x:c>
      <x:c r="C1325" s="16" t="e">
        <x:f>HYPERLINK("https://pokecottage.com/pokemon-master-sets/iron-moth","Iron Moth")</x:f>
        <x:v>HYPERLINK is not implemented. linkLocation=https://pokecottage.com/pokemon-master-sets/iron-moth, friendlyName=Iron Moth</x:v>
      </x:c>
      <x:c r="D1325" s="8" t="str">
        <x:v>Gen 9 • Paldea</x:v>
      </x:c>
      <x:c r="E1325" s="8"/>
      <x:c r="F1325" s="8"/>
    </x:row>
    <x:row r="1326" ht="25" customHeight="1">
      <x:c r="A1326" s="13" t="str">
        <x:v>☐</x:v>
      </x:c>
      <x:c r="B1326" s="11" t="n">
        <x:v>995</x:v>
      </x:c>
      <x:c r="C1326" s="15" t="e">
        <x:f>HYPERLINK("https://pokecottage.com/pokemon-master-sets/iron-thorns","Iron Thorns")</x:f>
        <x:v>HYPERLINK is not implemented. linkLocation=https://pokecottage.com/pokemon-master-sets/iron-thorns, friendlyName=Iron Thorns</x:v>
      </x:c>
      <x:c r="D1326" s="7" t="str">
        <x:v>Gen 9 • Paldea</x:v>
      </x:c>
      <x:c r="E1326" s="7"/>
      <x:c r="F1326" s="7"/>
    </x:row>
    <x:row r="1327" ht="25" customHeight="1">
      <x:c r="A1327" s="14" t="str">
        <x:v>☐</x:v>
      </x:c>
      <x:c r="B1327" s="12" t="n">
        <x:v>996</x:v>
      </x:c>
      <x:c r="C1327" s="16" t="e">
        <x:f>HYPERLINK("https://pokecottage.com/pokemon-master-sets/frigibax","Frigibax")</x:f>
        <x:v>HYPERLINK is not implemented. linkLocation=https://pokecottage.com/pokemon-master-sets/frigibax, friendlyName=Frigibax</x:v>
      </x:c>
      <x:c r="D1327" s="8" t="str">
        <x:v>Gen 9 • Paldea</x:v>
      </x:c>
      <x:c r="E1327" s="8"/>
      <x:c r="F1327" s="8"/>
    </x:row>
    <x:row r="1328" ht="25" customHeight="1">
      <x:c r="A1328" s="13" t="str">
        <x:v>☐</x:v>
      </x:c>
      <x:c r="B1328" s="11" t="n">
        <x:v>997</x:v>
      </x:c>
      <x:c r="C1328" s="15" t="e">
        <x:f>HYPERLINK("https://pokecottage.com/pokemon-master-sets/arctibax","Arctibax")</x:f>
        <x:v>HYPERLINK is not implemented. linkLocation=https://pokecottage.com/pokemon-master-sets/arctibax, friendlyName=Arctibax</x:v>
      </x:c>
      <x:c r="D1328" s="7" t="str">
        <x:v>Gen 9 • Paldea</x:v>
      </x:c>
      <x:c r="E1328" s="7"/>
      <x:c r="F1328" s="7"/>
    </x:row>
    <x:row r="1329" ht="25" customHeight="1">
      <x:c r="A1329" s="14" t="str">
        <x:v>☐</x:v>
      </x:c>
      <x:c r="B1329" s="12" t="n">
        <x:v>998</x:v>
      </x:c>
      <x:c r="C1329" s="16" t="e">
        <x:f>HYPERLINK("https://pokecottage.com/pokemon-master-sets/baxcalibur","Baxcalibur")</x:f>
        <x:v>HYPERLINK is not implemented. linkLocation=https://pokecottage.com/pokemon-master-sets/baxcalibur, friendlyName=Baxcalibur</x:v>
      </x:c>
      <x:c r="D1329" s="8" t="str">
        <x:v>Gen 9 • Paldea</x:v>
      </x:c>
      <x:c r="E1329" s="8"/>
      <x:c r="F1329" s="8"/>
    </x:row>
    <x:row r="1330" ht="25" customHeight="1">
      <x:c r="A1330" s="13" t="str">
        <x:v>☐</x:v>
      </x:c>
      <x:c r="B1330" s="11" t="n">
        <x:v>998</x:v>
      </x:c>
      <x:c r="C1330" s="15" t="e">
        <x:f>HYPERLINK("https://pokecottage.com/pokemon-master-sets/baxcalibur","Mega Baxcalibur")</x:f>
        <x:v>HYPERLINK is not implemented. linkLocation=https://pokecottage.com/pokemon-master-sets/baxcalibur, friendlyName=Mega Baxcalibur</x:v>
      </x:c>
      <x:c r="D1330" s="7" t="str">
        <x:v>Mega Evolution</x:v>
      </x:c>
      <x:c r="E1330" s="7"/>
      <x:c r="F1330" s="7"/>
    </x:row>
    <x:row r="1331" ht="25" customHeight="1">
      <x:c r="A1331" s="14" t="str">
        <x:v>☐</x:v>
      </x:c>
      <x:c r="B1331" s="12" t="n">
        <x:v>999</x:v>
      </x:c>
      <x:c r="C1331" s="16" t="e">
        <x:f>HYPERLINK("https://pokecottage.com/pokemon-master-sets/gimmighoul","Gimmighoul (Chest Form)")</x:f>
        <x:v>HYPERLINK is not implemented. linkLocation=https://pokecottage.com/pokemon-master-sets/gimmighoul, friendlyName=Gimmighoul (Chest Form)</x:v>
      </x:c>
      <x:c r="D1331" s="8" t="str">
        <x:v>Other Form</x:v>
      </x:c>
      <x:c r="E1331" s="8"/>
      <x:c r="F1331" s="8"/>
    </x:row>
    <x:row r="1332" ht="25" customHeight="1">
      <x:c r="A1332" s="13" t="str">
        <x:v>☐</x:v>
      </x:c>
      <x:c r="B1332" s="11" t="n">
        <x:v>999</x:v>
      </x:c>
      <x:c r="C1332" s="15" t="e">
        <x:f>HYPERLINK("https://pokecottage.com/pokemon-master-sets/gimmighoul","Gimmighoul (Roaming Form)")</x:f>
        <x:v>HYPERLINK is not implemented. linkLocation=https://pokecottage.com/pokemon-master-sets/gimmighoul, friendlyName=Gimmighoul (Roaming Form)</x:v>
      </x:c>
      <x:c r="D1332" s="7" t="str">
        <x:v>Other Form</x:v>
      </x:c>
      <x:c r="E1332" s="7"/>
      <x:c r="F1332" s="7"/>
    </x:row>
    <x:row r="1333" ht="25" customHeight="1">
      <x:c r="A1333" s="14" t="str">
        <x:v>☐</x:v>
      </x:c>
      <x:c r="B1333" s="12" t="n">
        <x:v>1000</x:v>
      </x:c>
      <x:c r="C1333" s="16" t="e">
        <x:f>HYPERLINK("https://pokecottage.com/pokemon-master-sets/gholdengo","Gholdengo")</x:f>
        <x:v>HYPERLINK is not implemented. linkLocation=https://pokecottage.com/pokemon-master-sets/gholdengo, friendlyName=Gholdengo</x:v>
      </x:c>
      <x:c r="D1333" s="8" t="str">
        <x:v>Gen 9 • Paldea</x:v>
      </x:c>
      <x:c r="E1333" s="8"/>
      <x:c r="F1333" s="8"/>
    </x:row>
    <x:row r="1334" ht="25" customHeight="1">
      <x:c r="A1334" s="13" t="str">
        <x:v>☐</x:v>
      </x:c>
      <x:c r="B1334" s="11" t="n">
        <x:v>1001</x:v>
      </x:c>
      <x:c r="C1334" s="15" t="e">
        <x:f>HYPERLINK("https://pokecottage.com/pokemon-master-sets/wo-chien","Wo-Chien")</x:f>
        <x:v>HYPERLINK is not implemented. linkLocation=https://pokecottage.com/pokemon-master-sets/wo-chien, friendlyName=Wo-Chien</x:v>
      </x:c>
      <x:c r="D1334" s="7" t="str">
        <x:v>Gen 9 • Paldea</x:v>
      </x:c>
      <x:c r="E1334" s="7"/>
      <x:c r="F1334" s="7"/>
    </x:row>
    <x:row r="1335" ht="25" customHeight="1">
      <x:c r="A1335" s="14" t="str">
        <x:v>☐</x:v>
      </x:c>
      <x:c r="B1335" s="12" t="n">
        <x:v>1002</x:v>
      </x:c>
      <x:c r="C1335" s="16" t="e">
        <x:f>HYPERLINK("https://pokecottage.com/pokemon-master-sets/chien-pao","Chien-Pao")</x:f>
        <x:v>HYPERLINK is not implemented. linkLocation=https://pokecottage.com/pokemon-master-sets/chien-pao, friendlyName=Chien-Pao</x:v>
      </x:c>
      <x:c r="D1335" s="8" t="str">
        <x:v>Gen 9 • Paldea</x:v>
      </x:c>
      <x:c r="E1335" s="8"/>
      <x:c r="F1335" s="8"/>
    </x:row>
    <x:row r="1336" ht="25" customHeight="1">
      <x:c r="A1336" s="13" t="str">
        <x:v>☐</x:v>
      </x:c>
      <x:c r="B1336" s="11" t="n">
        <x:v>1003</x:v>
      </x:c>
      <x:c r="C1336" s="15" t="e">
        <x:f>HYPERLINK("https://pokecottage.com/pokemon-master-sets/ting-lu","Ting-Lu")</x:f>
        <x:v>HYPERLINK is not implemented. linkLocation=https://pokecottage.com/pokemon-master-sets/ting-lu, friendlyName=Ting-Lu</x:v>
      </x:c>
      <x:c r="D1336" s="7" t="str">
        <x:v>Gen 9 • Paldea</x:v>
      </x:c>
      <x:c r="E1336" s="7"/>
      <x:c r="F1336" s="7"/>
    </x:row>
    <x:row r="1337" ht="25" customHeight="1">
      <x:c r="A1337" s="14" t="str">
        <x:v>☐</x:v>
      </x:c>
      <x:c r="B1337" s="12" t="n">
        <x:v>1004</x:v>
      </x:c>
      <x:c r="C1337" s="16" t="e">
        <x:f>HYPERLINK("https://pokecottage.com/pokemon-master-sets/chi-yu","Chi-Yu")</x:f>
        <x:v>HYPERLINK is not implemented. linkLocation=https://pokecottage.com/pokemon-master-sets/chi-yu, friendlyName=Chi-Yu</x:v>
      </x:c>
      <x:c r="D1337" s="8" t="str">
        <x:v>Gen 9 • Paldea</x:v>
      </x:c>
      <x:c r="E1337" s="8"/>
      <x:c r="F1337" s="8"/>
    </x:row>
    <x:row r="1338" ht="25" customHeight="1">
      <x:c r="A1338" s="13" t="str">
        <x:v>☐</x:v>
      </x:c>
      <x:c r="B1338" s="11" t="n">
        <x:v>1005</x:v>
      </x:c>
      <x:c r="C1338" s="15" t="e">
        <x:f>HYPERLINK("https://pokecottage.com/pokemon-master-sets/roaring-moon","Roaring Moon")</x:f>
        <x:v>HYPERLINK is not implemented. linkLocation=https://pokecottage.com/pokemon-master-sets/roaring-moon, friendlyName=Roaring Moon</x:v>
      </x:c>
      <x:c r="D1338" s="7" t="str">
        <x:v>Gen 9 • Paldea</x:v>
      </x:c>
      <x:c r="E1338" s="7"/>
      <x:c r="F1338" s="7"/>
    </x:row>
    <x:row r="1339" ht="25" customHeight="1">
      <x:c r="A1339" s="14" t="str">
        <x:v>☐</x:v>
      </x:c>
      <x:c r="B1339" s="12" t="n">
        <x:v>1006</x:v>
      </x:c>
      <x:c r="C1339" s="16" t="e">
        <x:f>HYPERLINK("https://pokecottage.com/pokemon-master-sets/iron-valiant","Iron Valiant")</x:f>
        <x:v>HYPERLINK is not implemented. linkLocation=https://pokecottage.com/pokemon-master-sets/iron-valiant, friendlyName=Iron Valiant</x:v>
      </x:c>
      <x:c r="D1339" s="8" t="str">
        <x:v>Gen 9 • Paldea</x:v>
      </x:c>
      <x:c r="E1339" s="8"/>
      <x:c r="F1339" s="8"/>
    </x:row>
    <x:row r="1340" ht="25" customHeight="1">
      <x:c r="A1340" s="13" t="str">
        <x:v>☐</x:v>
      </x:c>
      <x:c r="B1340" s="11" t="n">
        <x:v>1007</x:v>
      </x:c>
      <x:c r="C1340" s="15" t="e">
        <x:f>HYPERLINK("https://pokecottage.com/pokemon-master-sets/koraidon","Koraidon")</x:f>
        <x:v>HYPERLINK is not implemented. linkLocation=https://pokecottage.com/pokemon-master-sets/koraidon, friendlyName=Koraidon</x:v>
      </x:c>
      <x:c r="D1340" s="7" t="str">
        <x:v>Gen 9 • Paldea</x:v>
      </x:c>
      <x:c r="E1340" s="7"/>
      <x:c r="F1340" s="7"/>
    </x:row>
    <x:row r="1341" ht="25" customHeight="1">
      <x:c r="A1341" s="14" t="str">
        <x:v>☐</x:v>
      </x:c>
      <x:c r="B1341" s="12" t="n">
        <x:v>1008</x:v>
      </x:c>
      <x:c r="C1341" s="16" t="e">
        <x:f>HYPERLINK("https://pokecottage.com/pokemon-master-sets/miraidon","Miraidon")</x:f>
        <x:v>HYPERLINK is not implemented. linkLocation=https://pokecottage.com/pokemon-master-sets/miraidon, friendlyName=Miraidon</x:v>
      </x:c>
      <x:c r="D1341" s="8" t="str">
        <x:v>Gen 9 • Paldea</x:v>
      </x:c>
      <x:c r="E1341" s="8"/>
      <x:c r="F1341" s="8"/>
    </x:row>
    <x:row r="1342" ht="25" customHeight="1">
      <x:c r="A1342" s="13" t="str">
        <x:v>☐</x:v>
      </x:c>
      <x:c r="B1342" s="11" t="n">
        <x:v>1009</x:v>
      </x:c>
      <x:c r="C1342" s="15" t="e">
        <x:f>HYPERLINK("https://pokecottage.com/pokemon-master-sets/walking-wake","Walking Wake")</x:f>
        <x:v>HYPERLINK is not implemented. linkLocation=https://pokecottage.com/pokemon-master-sets/walking-wake, friendlyName=Walking Wake</x:v>
      </x:c>
      <x:c r="D1342" s="7" t="str">
        <x:v>Gen 9 • Paldea</x:v>
      </x:c>
      <x:c r="E1342" s="7"/>
      <x:c r="F1342" s="7"/>
    </x:row>
    <x:row r="1343" ht="25" customHeight="1">
      <x:c r="A1343" s="14" t="str">
        <x:v>☐</x:v>
      </x:c>
      <x:c r="B1343" s="12" t="n">
        <x:v>1010</x:v>
      </x:c>
      <x:c r="C1343" s="16" t="e">
        <x:f>HYPERLINK("https://pokecottage.com/pokemon-master-sets/iron-leaves","Iron Leaves")</x:f>
        <x:v>HYPERLINK is not implemented. linkLocation=https://pokecottage.com/pokemon-master-sets/iron-leaves, friendlyName=Iron Leaves</x:v>
      </x:c>
      <x:c r="D1343" s="8" t="str">
        <x:v>Gen 9 • Paldea</x:v>
      </x:c>
      <x:c r="E1343" s="8"/>
      <x:c r="F1343" s="8"/>
    </x:row>
    <x:row r="1344" ht="25" customHeight="1">
      <x:c r="A1344" s="13" t="str">
        <x:v>☐</x:v>
      </x:c>
      <x:c r="B1344" s="11" t="n">
        <x:v>1011</x:v>
      </x:c>
      <x:c r="C1344" s="15" t="e">
        <x:f>HYPERLINK("https://pokecottage.com/pokemon-master-sets/dipplin","Dipplin")</x:f>
        <x:v>HYPERLINK is not implemented. linkLocation=https://pokecottage.com/pokemon-master-sets/dipplin, friendlyName=Dipplin</x:v>
      </x:c>
      <x:c r="D1344" s="7" t="str">
        <x:v>Gen 9 • Paldea</x:v>
      </x:c>
      <x:c r="E1344" s="7"/>
      <x:c r="F1344" s="7"/>
    </x:row>
    <x:row r="1345" ht="25" customHeight="1">
      <x:c r="A1345" s="14" t="str">
        <x:v>☐</x:v>
      </x:c>
      <x:c r="B1345" s="12" t="n">
        <x:v>1012</x:v>
      </x:c>
      <x:c r="C1345" s="16" t="e">
        <x:f>HYPERLINK("https://pokecottage.com/pokemon-master-sets/poltchageist","Poltchageist")</x:f>
        <x:v>HYPERLINK is not implemented. linkLocation=https://pokecottage.com/pokemon-master-sets/poltchageist, friendlyName=Poltchageist</x:v>
      </x:c>
      <x:c r="D1345" s="8" t="str">
        <x:v>Gen 9 • Paldea</x:v>
      </x:c>
      <x:c r="E1345" s="8"/>
      <x:c r="F1345" s="8"/>
    </x:row>
    <x:row r="1346" ht="25" customHeight="1">
      <x:c r="A1346" s="13" t="str">
        <x:v>☐</x:v>
      </x:c>
      <x:c r="B1346" s="11" t="n">
        <x:v>1013</x:v>
      </x:c>
      <x:c r="C1346" s="15" t="e">
        <x:f>HYPERLINK("https://pokecottage.com/pokemon-master-sets/sinistcha","Sinistcha")</x:f>
        <x:v>HYPERLINK is not implemented. linkLocation=https://pokecottage.com/pokemon-master-sets/sinistcha, friendlyName=Sinistcha</x:v>
      </x:c>
      <x:c r="D1346" s="7" t="str">
        <x:v>Gen 9 • Paldea</x:v>
      </x:c>
      <x:c r="E1346" s="7"/>
      <x:c r="F1346" s="7"/>
    </x:row>
    <x:row r="1347" ht="25" customHeight="1">
      <x:c r="A1347" s="14" t="str">
        <x:v>☐</x:v>
      </x:c>
      <x:c r="B1347" s="12" t="n">
        <x:v>1014</x:v>
      </x:c>
      <x:c r="C1347" s="16" t="e">
        <x:f>HYPERLINK("https://pokecottage.com/pokemon-master-sets/okidogi","Okidogi")</x:f>
        <x:v>HYPERLINK is not implemented. linkLocation=https://pokecottage.com/pokemon-master-sets/okidogi, friendlyName=Okidogi</x:v>
      </x:c>
      <x:c r="D1347" s="8" t="str">
        <x:v>Gen 9 • Paldea</x:v>
      </x:c>
      <x:c r="E1347" s="8"/>
      <x:c r="F1347" s="8"/>
    </x:row>
    <x:row r="1348" ht="25" customHeight="1">
      <x:c r="A1348" s="13" t="str">
        <x:v>☐</x:v>
      </x:c>
      <x:c r="B1348" s="11" t="n">
        <x:v>1015</x:v>
      </x:c>
      <x:c r="C1348" s="15" t="e">
        <x:f>HYPERLINK("https://pokecottage.com/pokemon-master-sets/munkidori","Munkidori")</x:f>
        <x:v>HYPERLINK is not implemented. linkLocation=https://pokecottage.com/pokemon-master-sets/munkidori, friendlyName=Munkidori</x:v>
      </x:c>
      <x:c r="D1348" s="7" t="str">
        <x:v>Gen 9 • Paldea</x:v>
      </x:c>
      <x:c r="E1348" s="7"/>
      <x:c r="F1348" s="7"/>
    </x:row>
    <x:row r="1349" ht="25" customHeight="1">
      <x:c r="A1349" s="14" t="str">
        <x:v>☐</x:v>
      </x:c>
      <x:c r="B1349" s="12" t="n">
        <x:v>1016</x:v>
      </x:c>
      <x:c r="C1349" s="16" t="e">
        <x:f>HYPERLINK("https://pokecottage.com/pokemon-master-sets/fezandipiti","Fezandipiti")</x:f>
        <x:v>HYPERLINK is not implemented. linkLocation=https://pokecottage.com/pokemon-master-sets/fezandipiti, friendlyName=Fezandipiti</x:v>
      </x:c>
      <x:c r="D1349" s="8" t="str">
        <x:v>Gen 9 • Paldea</x:v>
      </x:c>
      <x:c r="E1349" s="8"/>
      <x:c r="F1349" s="8"/>
    </x:row>
    <x:row r="1350" ht="25" customHeight="1">
      <x:c r="A1350" s="13" t="str">
        <x:v>☐</x:v>
      </x:c>
      <x:c r="B1350" s="11" t="n">
        <x:v>1017</x:v>
      </x:c>
      <x:c r="C1350" s="15" t="e">
        <x:f>HYPERLINK("https://pokecottage.com/pokemon-master-sets/ogerpon","Ogerpon (Teal Mask)")</x:f>
        <x:v>HYPERLINK is not implemented. linkLocation=https://pokecottage.com/pokemon-master-sets/ogerpon, friendlyName=Ogerpon (Teal Mask)</x:v>
      </x:c>
      <x:c r="D1350" s="7" t="str">
        <x:v>Other Form</x:v>
      </x:c>
      <x:c r="E1350" s="7"/>
      <x:c r="F1350" s="7"/>
    </x:row>
    <x:row r="1351" ht="25" customHeight="1">
      <x:c r="A1351" s="14" t="str">
        <x:v>☐</x:v>
      </x:c>
      <x:c r="B1351" s="12" t="n">
        <x:v>1017</x:v>
      </x:c>
      <x:c r="C1351" s="16" t="e">
        <x:f>HYPERLINK("https://pokecottage.com/pokemon-master-sets/ogerpon","Ogerpon (Wellspring Mask)")</x:f>
        <x:v>HYPERLINK is not implemented. linkLocation=https://pokecottage.com/pokemon-master-sets/ogerpon, friendlyName=Ogerpon (Wellspring Mask)</x:v>
      </x:c>
      <x:c r="D1351" s="8" t="str">
        <x:v>Other Form</x:v>
      </x:c>
      <x:c r="E1351" s="8"/>
      <x:c r="F1351" s="8"/>
    </x:row>
    <x:row r="1352" ht="25" customHeight="1">
      <x:c r="A1352" s="13" t="str">
        <x:v>☐</x:v>
      </x:c>
      <x:c r="B1352" s="11" t="n">
        <x:v>1017</x:v>
      </x:c>
      <x:c r="C1352" s="15" t="e">
        <x:f>HYPERLINK("https://pokecottage.com/pokemon-master-sets/ogerpon","Ogerpon (Hearthflame Mask)")</x:f>
        <x:v>HYPERLINK is not implemented. linkLocation=https://pokecottage.com/pokemon-master-sets/ogerpon, friendlyName=Ogerpon (Hearthflame Mask)</x:v>
      </x:c>
      <x:c r="D1352" s="7" t="str">
        <x:v>Other Form</x:v>
      </x:c>
      <x:c r="E1352" s="7"/>
      <x:c r="F1352" s="7"/>
    </x:row>
    <x:row r="1353" ht="25" customHeight="1">
      <x:c r="A1353" s="14" t="str">
        <x:v>☐</x:v>
      </x:c>
      <x:c r="B1353" s="12" t="n">
        <x:v>1017</x:v>
      </x:c>
      <x:c r="C1353" s="16" t="e">
        <x:f>HYPERLINK("https://pokecottage.com/pokemon-master-sets/ogerpon","Ogerpon (Cornerstone Mask)")</x:f>
        <x:v>HYPERLINK is not implemented. linkLocation=https://pokecottage.com/pokemon-master-sets/ogerpon, friendlyName=Ogerpon (Cornerstone Mask)</x:v>
      </x:c>
      <x:c r="D1353" s="8" t="str">
        <x:v>Other Form</x:v>
      </x:c>
      <x:c r="E1353" s="8"/>
      <x:c r="F1353" s="8"/>
    </x:row>
    <x:row r="1354" ht="25" customHeight="1">
      <x:c r="A1354" s="13" t="str">
        <x:v>☐</x:v>
      </x:c>
      <x:c r="B1354" s="11" t="n">
        <x:v>1018</x:v>
      </x:c>
      <x:c r="C1354" s="15" t="e">
        <x:f>HYPERLINK("https://pokecottage.com/pokemon-master-sets/archaludon","Archaludon")</x:f>
        <x:v>HYPERLINK is not implemented. linkLocation=https://pokecottage.com/pokemon-master-sets/archaludon, friendlyName=Archaludon</x:v>
      </x:c>
      <x:c r="D1354" s="7" t="str">
        <x:v>Gen 9 • Paldea</x:v>
      </x:c>
      <x:c r="E1354" s="7"/>
      <x:c r="F1354" s="7"/>
    </x:row>
    <x:row r="1355" ht="25" customHeight="1">
      <x:c r="A1355" s="14" t="str">
        <x:v>☐</x:v>
      </x:c>
      <x:c r="B1355" s="12" t="n">
        <x:v>1019</x:v>
      </x:c>
      <x:c r="C1355" s="16" t="e">
        <x:f>HYPERLINK("https://pokecottage.com/pokemon-master-sets/hydrapple","Hydrapple")</x:f>
        <x:v>HYPERLINK is not implemented. linkLocation=https://pokecottage.com/pokemon-master-sets/hydrapple, friendlyName=Hydrapple</x:v>
      </x:c>
      <x:c r="D1355" s="8" t="str">
        <x:v>Gen 9 • Paldea</x:v>
      </x:c>
      <x:c r="E1355" s="8"/>
      <x:c r="F1355" s="8"/>
    </x:row>
    <x:row r="1356" ht="25" customHeight="1">
      <x:c r="A1356" s="13" t="str">
        <x:v>☐</x:v>
      </x:c>
      <x:c r="B1356" s="11" t="n">
        <x:v>1020</x:v>
      </x:c>
      <x:c r="C1356" s="15" t="e">
        <x:f>HYPERLINK("https://pokecottage.com/pokemon-master-sets/gouging-fire","Gouging Fire")</x:f>
        <x:v>HYPERLINK is not implemented. linkLocation=https://pokecottage.com/pokemon-master-sets/gouging-fire, friendlyName=Gouging Fire</x:v>
      </x:c>
      <x:c r="D1356" s="7" t="str">
        <x:v>Gen 9 • Paldea</x:v>
      </x:c>
      <x:c r="E1356" s="7"/>
      <x:c r="F1356" s="7"/>
    </x:row>
    <x:row r="1357" ht="25" customHeight="1">
      <x:c r="A1357" s="14" t="str">
        <x:v>☐</x:v>
      </x:c>
      <x:c r="B1357" s="12" t="n">
        <x:v>1021</x:v>
      </x:c>
      <x:c r="C1357" s="16" t="e">
        <x:f>HYPERLINK("https://pokecottage.com/pokemon-master-sets/raging-bolt","Raging Bolt")</x:f>
        <x:v>HYPERLINK is not implemented. linkLocation=https://pokecottage.com/pokemon-master-sets/raging-bolt, friendlyName=Raging Bolt</x:v>
      </x:c>
      <x:c r="D1357" s="8" t="str">
        <x:v>Gen 9 • Paldea</x:v>
      </x:c>
      <x:c r="E1357" s="8"/>
      <x:c r="F1357" s="8"/>
    </x:row>
    <x:row r="1358" ht="25" customHeight="1">
      <x:c r="A1358" s="13" t="str">
        <x:v>☐</x:v>
      </x:c>
      <x:c r="B1358" s="11" t="n">
        <x:v>1022</x:v>
      </x:c>
      <x:c r="C1358" s="15" t="e">
        <x:f>HYPERLINK("https://pokecottage.com/pokemon-master-sets/iron-boulder","Iron Boulder")</x:f>
        <x:v>HYPERLINK is not implemented. linkLocation=https://pokecottage.com/pokemon-master-sets/iron-boulder, friendlyName=Iron Boulder</x:v>
      </x:c>
      <x:c r="D1358" s="7" t="str">
        <x:v>Gen 9 • Paldea</x:v>
      </x:c>
      <x:c r="E1358" s="7"/>
      <x:c r="F1358" s="7"/>
    </x:row>
    <x:row r="1359" ht="25" customHeight="1">
      <x:c r="A1359" s="14" t="str">
        <x:v>☐</x:v>
      </x:c>
      <x:c r="B1359" s="12" t="n">
        <x:v>1023</x:v>
      </x:c>
      <x:c r="C1359" s="16" t="e">
        <x:f>HYPERLINK("https://pokecottage.com/pokemon-master-sets/iron-crown","Iron Crown")</x:f>
        <x:v>HYPERLINK is not implemented. linkLocation=https://pokecottage.com/pokemon-master-sets/iron-crown, friendlyName=Iron Crown</x:v>
      </x:c>
      <x:c r="D1359" s="8" t="str">
        <x:v>Gen 9 • Paldea</x:v>
      </x:c>
      <x:c r="E1359" s="8"/>
      <x:c r="F1359" s="8"/>
    </x:row>
    <x:row r="1360" ht="25" customHeight="1">
      <x:c r="A1360" s="13" t="str">
        <x:v>☐</x:v>
      </x:c>
      <x:c r="B1360" s="11" t="n">
        <x:v>1024</x:v>
      </x:c>
      <x:c r="C1360" s="15" t="e">
        <x:f>HYPERLINK("https://pokecottage.com/pokemon-master-sets/terapagos","Terapagos (Normal Form)")</x:f>
        <x:v>HYPERLINK is not implemented. linkLocation=https://pokecottage.com/pokemon-master-sets/terapagos, friendlyName=Terapagos (Normal Form)</x:v>
      </x:c>
      <x:c r="D1360" s="7" t="str">
        <x:v>Other Form</x:v>
      </x:c>
      <x:c r="E1360" s="7"/>
      <x:c r="F1360" s="7"/>
    </x:row>
    <x:row r="1361" ht="25" customHeight="1">
      <x:c r="A1361" s="14" t="str">
        <x:v>☐</x:v>
      </x:c>
      <x:c r="B1361" s="12" t="n">
        <x:v>1024</x:v>
      </x:c>
      <x:c r="C1361" s="16" t="e">
        <x:f>HYPERLINK("https://pokecottage.com/pokemon-master-sets/terapagos","Terapagos (Terastal Form)")</x:f>
        <x:v>HYPERLINK is not implemented. linkLocation=https://pokecottage.com/pokemon-master-sets/terapagos, friendlyName=Terapagos (Terastal Form)</x:v>
      </x:c>
      <x:c r="D1361" s="8" t="str">
        <x:v>Other Form</x:v>
      </x:c>
      <x:c r="E1361" s="8"/>
      <x:c r="F1361" s="8"/>
    </x:row>
    <x:row r="1362" ht="25" customHeight="1">
      <x:c r="A1362" s="13" t="str">
        <x:v>☐</x:v>
      </x:c>
      <x:c r="B1362" s="11" t="n">
        <x:v>1024</x:v>
      </x:c>
      <x:c r="C1362" s="15" t="e">
        <x:f>HYPERLINK("https://pokecottage.com/pokemon-master-sets/terapagos","Terapagos (Stellar Form)")</x:f>
        <x:v>HYPERLINK is not implemented. linkLocation=https://pokecottage.com/pokemon-master-sets/terapagos, friendlyName=Terapagos (Stellar Form)</x:v>
      </x:c>
      <x:c r="D1362" s="7" t="str">
        <x:v>Other Form</x:v>
      </x:c>
      <x:c r="E1362" s="7"/>
      <x:c r="F1362" s="7"/>
    </x:row>
    <x:row r="1363" ht="25" customHeight="1">
      <x:c r="A1363" s="22" t="str">
        <x:v>☐</x:v>
      </x:c>
      <x:c r="B1363" s="23" t="n">
        <x:v>1025</x:v>
      </x:c>
      <x:c r="C1363" s="24" t="e">
        <x:f>HYPERLINK("https://pokecottage.com/pokemon-master-sets/pecharunt","Pecharunt")</x:f>
        <x:v>HYPERLINK is not implemented. linkLocation=https://pokecottage.com/pokemon-master-sets/pecharunt, friendlyName=Pecharunt</x:v>
      </x:c>
      <x:c r="D1363" s="25" t="str">
        <x:v>Gen 9 • Paldea</x:v>
      </x:c>
      <x:c r="E1363" s="25"/>
      <x:c r="F1363" s="25"/>
    </x:row>
  </x:sheetData>
  <x:dataValidations count="1">
    <x:dataValidation type="list" allowBlank="0" showDropDown="0" sqref="A2:A1363">
      <x:formula1>"☐,☑"</x:formula1>
    </x:dataValidation>
  </x:dataValidations>
  <x:pageMargins left="0.7" right="0.7" top="0.75" bottom="0.75" header="0.3" footer="0.3"/>
</x:worksheet>
</file>